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3143D1D5-AA64-476F-913E-78E4925F326E}" xr6:coauthVersionLast="47" xr6:coauthVersionMax="47" xr10:uidLastSave="{00000000-0000-0000-0000-000000000000}"/>
  <bookViews>
    <workbookView xWindow="-120" yWindow="-120" windowWidth="29040" windowHeight="15840" tabRatio="825" firstSheet="3" activeTab="3" xr2:uid="{00000000-000D-0000-FFFF-FFFF00000000}"/>
  </bookViews>
  <sheets>
    <sheet name="2019год" sheetId="1" state="hidden" r:id="rId1"/>
    <sheet name="Лист2" sheetId="2" state="hidden" r:id="rId2"/>
    <sheet name="Лист3" sheetId="3" state="hidden" r:id="rId3"/>
    <sheet name="расчет" sheetId="14" r:id="rId4"/>
  </sheets>
  <externalReferences>
    <externalReference r:id="rId5"/>
    <externalReference r:id="rId6"/>
  </externalReferences>
  <calcPr calcId="191029"/>
</workbook>
</file>

<file path=xl/calcChain.xml><?xml version="1.0" encoding="utf-8"?>
<calcChain xmlns="http://schemas.openxmlformats.org/spreadsheetml/2006/main">
  <c r="F7" i="14" l="1"/>
  <c r="H7" i="14" s="1"/>
  <c r="F8" i="14"/>
  <c r="H8" i="14" s="1"/>
  <c r="F9" i="14"/>
  <c r="H9" i="14" s="1"/>
  <c r="F10" i="14"/>
  <c r="H10" i="14" s="1"/>
  <c r="F11" i="14"/>
  <c r="H11" i="14" s="1"/>
  <c r="F12" i="14"/>
  <c r="H12" i="14" s="1"/>
  <c r="F13" i="14"/>
  <c r="H13" i="14" s="1"/>
  <c r="F14" i="14"/>
  <c r="H14" i="14" s="1"/>
  <c r="F15" i="14"/>
  <c r="H15" i="14" s="1"/>
  <c r="F16" i="14"/>
  <c r="H16" i="14" s="1"/>
  <c r="F17" i="14"/>
  <c r="H17" i="14" s="1"/>
  <c r="F6" i="14"/>
  <c r="H6" i="14" s="1"/>
  <c r="I16" i="14" l="1"/>
  <c r="K16" i="14" s="1"/>
  <c r="I10" i="14"/>
  <c r="K10" i="14" s="1"/>
  <c r="I15" i="14"/>
  <c r="K15" i="14" s="1"/>
  <c r="I9" i="14"/>
  <c r="K9" i="14" s="1"/>
  <c r="I14" i="14"/>
  <c r="K14" i="14" s="1"/>
  <c r="I8" i="14"/>
  <c r="K8" i="14" s="1"/>
  <c r="I13" i="14"/>
  <c r="K13" i="14" s="1"/>
  <c r="I7" i="14"/>
  <c r="K7" i="14" s="1"/>
  <c r="I12" i="14"/>
  <c r="K12" i="14" s="1"/>
  <c r="I17" i="14"/>
  <c r="K17" i="14" s="1"/>
  <c r="I11" i="14"/>
  <c r="K11" i="14" s="1"/>
  <c r="F18" i="14"/>
  <c r="J18" i="14" l="1"/>
  <c r="I6" i="14" l="1"/>
  <c r="H18" i="14"/>
  <c r="K6" i="14" l="1"/>
  <c r="I18" i="14"/>
  <c r="C18" i="14"/>
  <c r="A7" i="14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K18" i="14" l="1"/>
  <c r="L14" i="14" s="1"/>
  <c r="N14" i="14" s="1"/>
  <c r="L8" i="14" l="1"/>
  <c r="N8" i="14" s="1"/>
  <c r="L16" i="14"/>
  <c r="N16" i="14" s="1"/>
  <c r="L13" i="14"/>
  <c r="N13" i="14" s="1"/>
  <c r="L6" i="14"/>
  <c r="N6" i="14" s="1"/>
  <c r="L10" i="14"/>
  <c r="N10" i="14" s="1"/>
  <c r="L7" i="14"/>
  <c r="L15" i="14"/>
  <c r="N15" i="14" s="1"/>
  <c r="L12" i="14"/>
  <c r="N12" i="14" s="1"/>
  <c r="L17" i="14"/>
  <c r="N17" i="14" s="1"/>
  <c r="L9" i="14"/>
  <c r="N9" i="14" s="1"/>
  <c r="L11" i="14"/>
  <c r="N11" i="14" s="1"/>
  <c r="L18" i="14" l="1"/>
  <c r="N7" i="14"/>
  <c r="N18" i="14" l="1"/>
  <c r="O12" i="1"/>
  <c r="N12" i="1"/>
  <c r="M12" i="1"/>
  <c r="AA12" i="1" s="1"/>
  <c r="L12" i="1"/>
  <c r="J12" i="1"/>
  <c r="I12" i="1"/>
  <c r="F12" i="1"/>
  <c r="C12" i="1"/>
  <c r="AA11" i="1"/>
  <c r="Y11" i="1"/>
  <c r="W11" i="1"/>
  <c r="X11" i="1" s="1"/>
  <c r="K11" i="1"/>
  <c r="H11" i="1"/>
  <c r="E11" i="1"/>
  <c r="AA10" i="1"/>
  <c r="Y10" i="1"/>
  <c r="X10" i="1"/>
  <c r="W10" i="1"/>
  <c r="K10" i="1"/>
  <c r="H10" i="1"/>
  <c r="E10" i="1"/>
  <c r="O9" i="1"/>
  <c r="L9" i="1"/>
  <c r="I9" i="1"/>
  <c r="J9" i="1" s="1"/>
  <c r="L8" i="1"/>
  <c r="I8" i="1"/>
  <c r="J8" i="1" s="1"/>
  <c r="I7" i="1"/>
  <c r="J7" i="1" s="1"/>
  <c r="K7" i="1" s="1"/>
  <c r="AA6" i="1"/>
  <c r="T6" i="1"/>
  <c r="T12" i="1" s="1"/>
  <c r="P6" i="1"/>
  <c r="P12" i="1" s="1"/>
  <c r="K6" i="1"/>
  <c r="H6" i="1"/>
  <c r="E6" i="1"/>
  <c r="D5" i="1"/>
  <c r="E5" i="1" s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Z5" i="1" s="1"/>
  <c r="AA5" i="1" s="1"/>
  <c r="K12" i="1" l="1"/>
  <c r="Q6" i="1"/>
  <c r="Q12" i="1" s="1"/>
  <c r="H12" i="1"/>
  <c r="E12" i="1"/>
  <c r="K8" i="1"/>
  <c r="K9" i="1"/>
  <c r="M13" i="1"/>
  <c r="P9" i="1"/>
  <c r="Q9" i="1" s="1"/>
  <c r="R6" i="1" l="1"/>
  <c r="R12" i="1" s="1"/>
  <c r="R9" i="1"/>
  <c r="S9" i="1" s="1"/>
  <c r="U9" i="1" s="1"/>
  <c r="V9" i="1" s="1"/>
  <c r="S6" i="1" l="1"/>
  <c r="S12" i="1" s="1"/>
  <c r="W9" i="1"/>
  <c r="X9" i="1" s="1"/>
  <c r="Y9" i="1"/>
  <c r="U6" i="1" l="1"/>
  <c r="U12" i="1" s="1"/>
  <c r="V6" i="1" l="1"/>
  <c r="V12" i="1" s="1"/>
  <c r="Y6" i="1" l="1"/>
  <c r="Y12" i="1" s="1"/>
  <c r="W6" i="1"/>
  <c r="W12" i="1" s="1"/>
  <c r="L7" i="1"/>
  <c r="N7" i="1"/>
  <c r="O7" i="1"/>
  <c r="N8" i="1"/>
  <c r="O8" i="1"/>
  <c r="P7" i="1" l="1"/>
  <c r="Q7" i="1" s="1"/>
  <c r="R7" i="1" s="1"/>
  <c r="S7" i="1" s="1"/>
  <c r="U7" i="1" s="1"/>
  <c r="V7" i="1" s="1"/>
  <c r="Y7" i="1" s="1"/>
  <c r="P8" i="1"/>
  <c r="Q8" i="1" s="1"/>
  <c r="W7" i="1" l="1"/>
  <c r="X7" i="1" s="1"/>
  <c r="R8" i="1"/>
  <c r="S8" i="1" s="1"/>
  <c r="U8" i="1" s="1"/>
  <c r="V8" i="1" s="1"/>
  <c r="Y8" i="1" s="1"/>
  <c r="W8" i="1" l="1"/>
  <c r="X8" i="1" s="1"/>
  <c r="X6" i="1" s="1"/>
  <c r="X12" i="1" s="1"/>
</calcChain>
</file>

<file path=xl/sharedStrings.xml><?xml version="1.0" encoding="utf-8"?>
<sst xmlns="http://schemas.openxmlformats.org/spreadsheetml/2006/main" count="137" uniqueCount="87">
  <si>
    <t>Расчет потребности средств до дстижения значения целевых показателей  2019 год</t>
  </si>
  <si>
    <t>Значение целевых показателей
 "Дорожной карты" 
2018 год</t>
  </si>
  <si>
    <t>Значение целевых показателей
 "Дорожной карты" 
2019 год
соглашение 01./190010/13 от 28.01.2019г.</t>
  </si>
  <si>
    <t xml:space="preserve">по тарификации на 01.01.2019г. </t>
  </si>
  <si>
    <t>Всего  должностной оклад  выплаты в месяц</t>
  </si>
  <si>
    <t>МРОТ</t>
  </si>
  <si>
    <t>ВСЕГО с МРОТ</t>
  </si>
  <si>
    <t>211 "Заработная плата"</t>
  </si>
  <si>
    <t>213
"Начисление  
на оплату труда"</t>
  </si>
  <si>
    <t>ВСЕГО
 з.плата + начисление на ввплаты по оплате труда</t>
  </si>
  <si>
    <t>Средняя 
заработная плата по тарификации</t>
  </si>
  <si>
    <t>Показатель
 целевых значений соглашение №01/19.00010/13 от 28.01.2019г.</t>
  </si>
  <si>
    <t xml:space="preserve">ФОНД оплаты
 труда  по значению показателей </t>
  </si>
  <si>
    <t>к-во 
физ.
 лиц</t>
  </si>
  <si>
    <t>Средняя
 заработная плата</t>
  </si>
  <si>
    <t>ФОНД заработной платы</t>
  </si>
  <si>
    <t>211 "Заработна плата"</t>
  </si>
  <si>
    <t>213 Начисление на выплаты по оплате труда</t>
  </si>
  <si>
    <t>всего</t>
  </si>
  <si>
    <t>к-во
шт-х
ед-ц</t>
  </si>
  <si>
    <t xml:space="preserve">Количество физических лиц
человек </t>
  </si>
  <si>
    <t>ФОТ 
месяц</t>
  </si>
  <si>
    <t>Коменсационные выплаты</t>
  </si>
  <si>
    <t>Р.К.+Северная надбавка</t>
  </si>
  <si>
    <t xml:space="preserve">Стимулирующие выплаты </t>
  </si>
  <si>
    <t>Иные выплаты</t>
  </si>
  <si>
    <t>на 
01.01.2019</t>
  </si>
  <si>
    <t>а</t>
  </si>
  <si>
    <t>б</t>
  </si>
  <si>
    <t>1</t>
  </si>
  <si>
    <t>Образовательные организации
 дополнительного образования детей ведомства "Образование"</t>
  </si>
  <si>
    <t>2.1.1</t>
  </si>
  <si>
    <t>Методисты</t>
  </si>
  <si>
    <t>2.1.2</t>
  </si>
  <si>
    <t>Педагог дополнительного
 образования п.Луговской</t>
  </si>
  <si>
    <t>2.1.3</t>
  </si>
  <si>
    <t>Педагог дополнительного
 образования п.Горноправдинск</t>
  </si>
  <si>
    <t>2</t>
  </si>
  <si>
    <t>Образовательные организации
 дополнительного образования детей ведомства "Кудьтура"</t>
  </si>
  <si>
    <t>3</t>
  </si>
  <si>
    <t>Образовательные организации
 дополнительного образования детей ведомства "Физическая культура и спорт"</t>
  </si>
  <si>
    <t>ВСЕГО по Ханты-Мансийскому району</t>
  </si>
  <si>
    <t>Начальник управления по 
финансово  экономическому обеспечению</t>
  </si>
  <si>
    <t xml:space="preserve">С.В.Неупокоева </t>
  </si>
  <si>
    <t>Исполнитель 
вед.экономист  отдела планирования 
и экономического анализа
Ниязова Х.Х Тел. (3467) 328089</t>
  </si>
  <si>
    <t>Дотация на 2019год</t>
  </si>
  <si>
    <t>№ п/п</t>
  </si>
  <si>
    <t>Выкатной</t>
  </si>
  <si>
    <t>Горноправдинск</t>
  </si>
  <si>
    <t xml:space="preserve">Кедровый </t>
  </si>
  <si>
    <t>Красноленинский</t>
  </si>
  <si>
    <t>Кышик</t>
  </si>
  <si>
    <t>Луговской</t>
  </si>
  <si>
    <t>Нялинское</t>
  </si>
  <si>
    <t>Селиярово</t>
  </si>
  <si>
    <t>Сибирский</t>
  </si>
  <si>
    <t>Согом</t>
  </si>
  <si>
    <t>Цингалы</t>
  </si>
  <si>
    <t>Шапша</t>
  </si>
  <si>
    <t>ИТОГО по АСП</t>
  </si>
  <si>
    <r>
      <t xml:space="preserve"> Удельный вес дополнительных средств в суммарном объёме дополнительных средств на обеспечение расходов, связанных с повышением оплаты труда работников муниципальных учреждений, </t>
    </r>
    <r>
      <rPr>
        <b/>
        <sz val="12"/>
        <rFont val="Times New Roman"/>
        <family val="1"/>
        <charset val="204"/>
      </rPr>
      <t>УВДСi</t>
    </r>
  </si>
  <si>
    <r>
      <t xml:space="preserve">общий объем ИМБТ на обеспечение расходов, связанных с повышением оплаты труда работников муниципальных учреждений культуры, </t>
    </r>
    <r>
      <rPr>
        <b/>
        <sz val="12"/>
        <rFont val="Times New Roman"/>
        <family val="1"/>
        <charset val="204"/>
      </rPr>
      <t>Vимбт</t>
    </r>
    <r>
      <rPr>
        <sz val="12"/>
        <rFont val="Times New Roman"/>
        <family val="1"/>
        <charset val="204"/>
      </rPr>
      <t xml:space="preserve"> (тыс. рублей)</t>
    </r>
  </si>
  <si>
    <r>
      <t xml:space="preserve">Фонд заработной платы, сложившийся в 2013 году с учетом начисления на выплаты по оплате труда, </t>
    </r>
    <r>
      <rPr>
        <b/>
        <sz val="12"/>
        <rFont val="Times New Roman"/>
        <family val="1"/>
        <charset val="204"/>
      </rPr>
      <t>ФОТi</t>
    </r>
    <r>
      <rPr>
        <sz val="12"/>
        <rFont val="Times New Roman"/>
        <family val="1"/>
        <charset val="204"/>
      </rPr>
      <t xml:space="preserve"> (тыс. рублей)</t>
    </r>
  </si>
  <si>
    <t>Наименование сельского поселения</t>
  </si>
  <si>
    <r>
      <t xml:space="preserve">Расчетный период, </t>
    </r>
    <r>
      <rPr>
        <b/>
        <sz val="12"/>
        <rFont val="Times New Roman"/>
        <family val="1"/>
        <charset val="204"/>
      </rPr>
      <t xml:space="preserve">Прас </t>
    </r>
    <r>
      <rPr>
        <sz val="12"/>
        <rFont val="Times New Roman"/>
        <family val="1"/>
        <charset val="204"/>
      </rPr>
      <t>(месяцев)</t>
    </r>
  </si>
  <si>
    <r>
      <t xml:space="preserve">Фонд заработной платы, сложившийся с учетом показателя средней заработной платы работников муниципальных учреждений культуры, </t>
    </r>
    <r>
      <rPr>
        <b/>
        <sz val="12"/>
        <rFont val="Times New Roman"/>
        <family val="1"/>
        <charset val="204"/>
      </rPr>
      <t xml:space="preserve">ФОТi </t>
    </r>
    <r>
      <rPr>
        <sz val="12"/>
        <rFont val="Times New Roman"/>
        <family val="1"/>
        <charset val="204"/>
      </rPr>
      <t xml:space="preserve">(тыс. рублей) </t>
    </r>
  </si>
  <si>
    <r>
      <t xml:space="preserve">Начисления на выплаты по оплате труда (страховые взносы), </t>
    </r>
    <r>
      <rPr>
        <b/>
        <sz val="12"/>
        <rFont val="Times New Roman"/>
        <family val="1"/>
        <charset val="204"/>
      </rPr>
      <t>НВОТi</t>
    </r>
    <r>
      <rPr>
        <sz val="12"/>
        <rFont val="Times New Roman"/>
        <family val="1"/>
        <charset val="204"/>
      </rPr>
      <t xml:space="preserve"> (тыс. рублей)</t>
    </r>
  </si>
  <si>
    <r>
      <t xml:space="preserve">Расчетный объём средств, необходимый для обеспечения показателя средней заработной платы работников муниципальных учреждений культуры, </t>
    </r>
    <r>
      <rPr>
        <b/>
        <sz val="12"/>
        <rFont val="Times New Roman"/>
        <family val="1"/>
        <charset val="204"/>
      </rPr>
      <t>Тi</t>
    </r>
    <r>
      <rPr>
        <sz val="12"/>
        <rFont val="Times New Roman"/>
        <family val="1"/>
        <charset val="204"/>
      </rPr>
      <t xml:space="preserve"> (тыс. рублей)</t>
    </r>
  </si>
  <si>
    <t>х</t>
  </si>
  <si>
    <t>6=(3*4*5)</t>
  </si>
  <si>
    <t>8=(6*7)</t>
  </si>
  <si>
    <t>9=(6+8)</t>
  </si>
  <si>
    <r>
      <t xml:space="preserve"> Дополнительные  средства на обеспечение расходов, связанных с повышением оплаты труда работников муниципальных учреждений культуры,  </t>
    </r>
    <r>
      <rPr>
        <b/>
        <sz val="12"/>
        <rFont val="Times New Roman"/>
        <family val="1"/>
        <charset val="204"/>
      </rPr>
      <t>Viдоп</t>
    </r>
    <r>
      <rPr>
        <sz val="12"/>
        <rFont val="Times New Roman"/>
        <family val="1"/>
        <charset val="204"/>
      </rPr>
      <t xml:space="preserve"> (тыс. рублей)</t>
    </r>
  </si>
  <si>
    <t>11=(9-10)</t>
  </si>
  <si>
    <t>14=(12*13)/100</t>
  </si>
  <si>
    <r>
      <t xml:space="preserve">Тарифы страховых взносов, </t>
    </r>
    <r>
      <rPr>
        <b/>
        <sz val="12"/>
        <rFont val="Times New Roman"/>
        <family val="1"/>
        <charset val="204"/>
      </rPr>
      <t>Встрах</t>
    </r>
    <r>
      <rPr>
        <sz val="12"/>
        <rFont val="Times New Roman"/>
        <family val="1"/>
        <charset val="204"/>
      </rPr>
      <t xml:space="preserve"> (тыс. рублей)</t>
    </r>
  </si>
  <si>
    <t>12=(11/11итог)*100</t>
  </si>
  <si>
    <r>
      <t xml:space="preserve">ИМБТ на обеспечение расходов, связанных с повышением оплаты труда работников муниципальных учреждений культуры, </t>
    </r>
    <r>
      <rPr>
        <b/>
        <sz val="12"/>
        <rFont val="Times New Roman"/>
        <family val="1"/>
        <charset val="204"/>
      </rPr>
      <t>ИМБТi</t>
    </r>
    <r>
      <rPr>
        <sz val="12"/>
        <rFont val="Times New Roman"/>
        <family val="1"/>
        <charset val="204"/>
      </rPr>
      <t xml:space="preserve"> (тыс. рублей)</t>
    </r>
  </si>
  <si>
    <t>подпись</t>
  </si>
  <si>
    <t xml:space="preserve">Дата </t>
  </si>
  <si>
    <t>___________________</t>
  </si>
  <si>
    <t>___________</t>
  </si>
  <si>
    <r>
      <t xml:space="preserve">Среднесписочная численность работников муниципальных учреждений культуры, </t>
    </r>
    <r>
      <rPr>
        <b/>
        <sz val="12"/>
        <rFont val="Times New Roman"/>
        <family val="1"/>
        <charset val="204"/>
      </rPr>
      <t>Чi</t>
    </r>
    <r>
      <rPr>
        <sz val="12"/>
        <rFont val="Times New Roman"/>
        <family val="1"/>
        <charset val="204"/>
      </rPr>
      <t xml:space="preserve"> (человек)  по состоянию на 01.01.2025 год</t>
    </r>
  </si>
  <si>
    <r>
      <t xml:space="preserve">Показатель средней заработной платы работников муниципальных учреждений культуры, </t>
    </r>
    <r>
      <rPr>
        <b/>
        <sz val="12"/>
        <rFont val="Times New Roman"/>
        <family val="1"/>
        <charset val="204"/>
      </rPr>
      <t>ЗПср</t>
    </r>
    <r>
      <rPr>
        <sz val="12"/>
        <rFont val="Times New Roman"/>
        <family val="1"/>
        <charset val="204"/>
      </rPr>
      <t xml:space="preserve"> (тыс. рублей) на 2025 год</t>
    </r>
  </si>
  <si>
    <t xml:space="preserve">Расчет иных межбюджетных трансфертов из бюджета района на повышение оплаты труда (сохранение достигнутого показателя средней заработной платы по региону) работников муниципальных учреждений культуры сельских поселений в 2025 году </t>
  </si>
  <si>
    <t>О.Н. Астафьева</t>
  </si>
  <si>
    <t>Исполняющий обязанности председателя комитета по финансам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</si>
</sst>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0.0"/>
    <numFmt numFmtId="166" formatCode="#,##0.0000"/>
    <numFmt numFmtId="167" formatCode="#,##0.00_ ;\-#,##0.00\ "/>
    <numFmt numFmtId="168" formatCode="0.00000000000000"/>
    <numFmt numFmtId="169" formatCode="0.0%"/>
    <numFmt numFmtId="170" formatCode="#,##0_ ;\-#,##0\ "/>
    <numFmt numFmtId="171" formatCode="#,##0.0000_ ;\-#,##0.0000\ "/>
    <numFmt numFmtId="172" formatCode="#,##0.00_ ;[Red]\-#,##0.00\ "/>
  </numFmts>
  <fonts count="2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4" fontId="7" fillId="0" borderId="2" xfId="0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5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right" vertical="center"/>
    </xf>
    <xf numFmtId="0" fontId="7" fillId="2" borderId="5" xfId="0" applyFont="1" applyFill="1" applyBorder="1" applyAlignment="1">
      <alignment vertical="center" wrapText="1"/>
    </xf>
    <xf numFmtId="165" fontId="7" fillId="2" borderId="5" xfId="0" applyNumberFormat="1" applyFont="1" applyFill="1" applyBorder="1" applyAlignment="1">
      <alignment vertical="center"/>
    </xf>
    <xf numFmtId="3" fontId="7" fillId="2" borderId="5" xfId="0" applyNumberFormat="1" applyFont="1" applyFill="1" applyBorder="1" applyAlignment="1">
      <alignment vertical="center" wrapText="1"/>
    </xf>
    <xf numFmtId="4" fontId="7" fillId="2" borderId="5" xfId="0" applyNumberFormat="1" applyFont="1" applyFill="1" applyBorder="1" applyAlignment="1">
      <alignment vertical="center" wrapText="1"/>
    </xf>
    <xf numFmtId="3" fontId="7" fillId="3" borderId="5" xfId="0" applyNumberFormat="1" applyFont="1" applyFill="1" applyBorder="1" applyAlignment="1">
      <alignment vertical="center" wrapText="1"/>
    </xf>
    <xf numFmtId="164" fontId="7" fillId="2" borderId="6" xfId="0" applyNumberFormat="1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7" fillId="4" borderId="5" xfId="0" applyNumberFormat="1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right" vertical="center"/>
    </xf>
    <xf numFmtId="0" fontId="10" fillId="2" borderId="5" xfId="0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vertical="center"/>
    </xf>
    <xf numFmtId="3" fontId="10" fillId="2" borderId="5" xfId="0" applyNumberFormat="1" applyFont="1" applyFill="1" applyBorder="1" applyAlignment="1">
      <alignment vertical="center"/>
    </xf>
    <xf numFmtId="4" fontId="10" fillId="2" borderId="5" xfId="0" applyNumberFormat="1" applyFont="1" applyFill="1" applyBorder="1" applyAlignment="1">
      <alignment vertical="center"/>
    </xf>
    <xf numFmtId="166" fontId="10" fillId="2" borderId="5" xfId="0" applyNumberFormat="1" applyFont="1" applyFill="1" applyBorder="1" applyAlignment="1">
      <alignment vertical="center"/>
    </xf>
    <xf numFmtId="164" fontId="10" fillId="2" borderId="6" xfId="0" applyNumberFormat="1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2" fillId="2" borderId="5" xfId="0" applyNumberFormat="1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/>
    </xf>
    <xf numFmtId="4" fontId="14" fillId="4" borderId="5" xfId="0" applyNumberFormat="1" applyFont="1" applyFill="1" applyBorder="1" applyAlignment="1">
      <alignment horizontal="center"/>
    </xf>
    <xf numFmtId="0" fontId="10" fillId="2" borderId="5" xfId="0" applyFont="1" applyFill="1" applyBorder="1" applyAlignment="1">
      <alignment vertical="center" wrapText="1"/>
    </xf>
    <xf numFmtId="165" fontId="10" fillId="2" borderId="5" xfId="0" applyNumberFormat="1" applyFont="1" applyFill="1" applyBorder="1" applyAlignment="1">
      <alignment vertical="center" wrapText="1"/>
    </xf>
    <xf numFmtId="3" fontId="10" fillId="2" borderId="5" xfId="0" applyNumberFormat="1" applyFont="1" applyFill="1" applyBorder="1" applyAlignment="1">
      <alignment vertical="center" wrapText="1"/>
    </xf>
    <xf numFmtId="4" fontId="10" fillId="2" borderId="5" xfId="0" applyNumberFormat="1" applyFont="1" applyFill="1" applyBorder="1" applyAlignment="1">
      <alignment vertical="center" wrapText="1"/>
    </xf>
    <xf numFmtId="4" fontId="14" fillId="4" borderId="5" xfId="0" applyNumberFormat="1" applyFont="1" applyFill="1" applyBorder="1" applyAlignment="1">
      <alignment horizontal="center" vertical="center"/>
    </xf>
    <xf numFmtId="165" fontId="7" fillId="2" borderId="5" xfId="0" applyNumberFormat="1" applyFont="1" applyFill="1" applyBorder="1" applyAlignment="1">
      <alignment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165" fontId="6" fillId="2" borderId="8" xfId="0" applyNumberFormat="1" applyFont="1" applyFill="1" applyBorder="1" applyAlignment="1">
      <alignment vertical="center"/>
    </xf>
    <xf numFmtId="3" fontId="6" fillId="2" borderId="8" xfId="0" applyNumberFormat="1" applyFont="1" applyFill="1" applyBorder="1" applyAlignment="1">
      <alignment vertical="center" wrapText="1"/>
    </xf>
    <xf numFmtId="3" fontId="6" fillId="2" borderId="8" xfId="0" applyNumberFormat="1" applyFont="1" applyFill="1" applyBorder="1" applyAlignment="1">
      <alignment vertical="center"/>
    </xf>
    <xf numFmtId="4" fontId="6" fillId="2" borderId="8" xfId="0" applyNumberFormat="1" applyFont="1" applyFill="1" applyBorder="1" applyAlignment="1">
      <alignment vertical="center" wrapText="1"/>
    </xf>
    <xf numFmtId="3" fontId="6" fillId="3" borderId="8" xfId="0" applyNumberFormat="1" applyFont="1" applyFill="1" applyBorder="1" applyAlignment="1">
      <alignment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4" fontId="9" fillId="5" borderId="8" xfId="0" applyNumberFormat="1" applyFont="1" applyFill="1" applyBorder="1" applyAlignment="1">
      <alignment horizontal="center" vertical="center"/>
    </xf>
    <xf numFmtId="4" fontId="9" fillId="4" borderId="8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165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vertical="center" wrapText="1"/>
    </xf>
    <xf numFmtId="1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2" fontId="15" fillId="5" borderId="0" xfId="0" applyNumberFormat="1" applyFont="1" applyFill="1" applyAlignment="1">
      <alignment horizontal="center" vertical="center"/>
    </xf>
    <xf numFmtId="0" fontId="16" fillId="2" borderId="0" xfId="0" applyFont="1" applyFill="1"/>
    <xf numFmtId="0" fontId="0" fillId="2" borderId="0" xfId="0" applyFill="1" applyAlignment="1">
      <alignment wrapText="1"/>
    </xf>
    <xf numFmtId="4" fontId="0" fillId="2" borderId="0" xfId="0" applyNumberFormat="1" applyFill="1" applyAlignment="1">
      <alignment wrapText="1"/>
    </xf>
    <xf numFmtId="0" fontId="16" fillId="0" borderId="0" xfId="0" applyFont="1"/>
    <xf numFmtId="4" fontId="16" fillId="0" borderId="0" xfId="0" applyNumberFormat="1" applyFont="1"/>
    <xf numFmtId="164" fontId="0" fillId="2" borderId="0" xfId="0" applyNumberFormat="1" applyFill="1"/>
    <xf numFmtId="0" fontId="0" fillId="2" borderId="0" xfId="0" applyFill="1"/>
    <xf numFmtId="0" fontId="17" fillId="0" borderId="0" xfId="0" applyFont="1"/>
    <xf numFmtId="0" fontId="18" fillId="0" borderId="5" xfId="0" applyFont="1" applyBorder="1" applyAlignment="1">
      <alignment horizontal="center" vertical="center" wrapText="1"/>
    </xf>
    <xf numFmtId="0" fontId="22" fillId="0" borderId="0" xfId="0" applyFont="1"/>
    <xf numFmtId="164" fontId="18" fillId="0" borderId="5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0" fillId="0" borderId="0" xfId="0" applyFont="1"/>
    <xf numFmtId="0" fontId="18" fillId="0" borderId="5" xfId="0" applyFont="1" applyBorder="1"/>
    <xf numFmtId="0" fontId="18" fillId="0" borderId="5" xfId="0" applyFont="1" applyBorder="1" applyAlignment="1">
      <alignment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center"/>
    </xf>
    <xf numFmtId="4" fontId="17" fillId="0" borderId="0" xfId="0" applyNumberFormat="1" applyFont="1"/>
    <xf numFmtId="0" fontId="3" fillId="0" borderId="0" xfId="0" applyFont="1"/>
    <xf numFmtId="168" fontId="17" fillId="0" borderId="0" xfId="0" applyNumberFormat="1" applyFont="1"/>
    <xf numFmtId="167" fontId="18" fillId="0" borderId="5" xfId="0" applyNumberFormat="1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4" fontId="1" fillId="0" borderId="5" xfId="0" applyNumberFormat="1" applyFont="1" applyBorder="1" applyAlignment="1">
      <alignment horizontal="center" vertical="center" wrapText="1"/>
    </xf>
    <xf numFmtId="169" fontId="18" fillId="0" borderId="5" xfId="0" applyNumberFormat="1" applyFont="1" applyBorder="1" applyAlignment="1">
      <alignment horizontal="center" vertical="center"/>
    </xf>
    <xf numFmtId="170" fontId="18" fillId="0" borderId="5" xfId="0" applyNumberFormat="1" applyFont="1" applyBorder="1" applyAlignment="1">
      <alignment horizontal="center" vertical="center"/>
    </xf>
    <xf numFmtId="171" fontId="18" fillId="0" borderId="5" xfId="0" applyNumberFormat="1" applyFont="1" applyBorder="1" applyAlignment="1">
      <alignment horizontal="center" vertical="center"/>
    </xf>
    <xf numFmtId="165" fontId="18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14" fontId="22" fillId="0" borderId="0" xfId="0" applyNumberFormat="1" applyFont="1" applyAlignment="1">
      <alignment horizontal="center"/>
    </xf>
    <xf numFmtId="172" fontId="17" fillId="0" borderId="0" xfId="0" applyNumberFormat="1" applyFont="1"/>
    <xf numFmtId="0" fontId="21" fillId="0" borderId="0" xfId="0" applyFont="1" applyAlignment="1">
      <alignment horizontal="center" wrapText="1"/>
    </xf>
    <xf numFmtId="0" fontId="1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72" fontId="1" fillId="0" borderId="0" xfId="0" applyNumberFormat="1" applyFont="1" applyAlignment="1">
      <alignment horizontal="center" vertical="center" wrapText="1"/>
    </xf>
    <xf numFmtId="172" fontId="18" fillId="0" borderId="0" xfId="0" applyNumberFormat="1" applyFont="1" applyAlignment="1">
      <alignment horizontal="center" vertical="center" wrapText="1"/>
    </xf>
    <xf numFmtId="14" fontId="3" fillId="0" borderId="0" xfId="0" applyNumberFormat="1" applyFont="1" applyAlignment="1">
      <alignment horizontal="left"/>
    </xf>
    <xf numFmtId="168" fontId="3" fillId="0" borderId="0" xfId="0" applyNumberFormat="1" applyFont="1"/>
    <xf numFmtId="0" fontId="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 shrinkToFit="1"/>
    </xf>
    <xf numFmtId="4" fontId="5" fillId="0" borderId="2" xfId="0" applyNumberFormat="1" applyFont="1" applyBorder="1" applyAlignment="1">
      <alignment horizontal="center" vertical="center" shrinkToFi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left"/>
    </xf>
    <xf numFmtId="0" fontId="18" fillId="0" borderId="6" xfId="0" applyFont="1" applyBorder="1" applyAlignment="1">
      <alignment horizontal="left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3;&#1080;&#1103;&#1079;&#1086;&#1074;&#1072;&#1061;&#1061;/Desktop/2020&#1075;&#1086;&#1076;/2020%20&#1075;&#1086;&#1076;/&#1052;&#1040;&#1059;%20&#1044;&#1054;%20&#1061;&#1052;&#1056;/&#1057;&#1042;&#1054;&#1044;%20%20&#1052;&#1040;&#1059;%20&#1044;&#1054;%20&#1061;&#1052;&#1056;%20&#1085;&#1072;%202020%20&#1091;&#1095;.&#1075;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3;&#1080;&#1103;&#1079;&#1086;&#1074;&#1072;&#1061;&#1061;/Desktop/2020&#1075;&#1086;&#1076;/2020%20&#1075;&#1086;&#1076;/&#1052;&#1040;&#1059;%20&#1044;&#1054;%20&#1061;&#1052;&#1056;/6300,00&#1058;&#1040;&#1056;&#1048;&#1060;&#1048;&#1050;&#1040;&#1062;&#1048;&#1071;%20&#1052;&#1041;&#1059;%20&#1044;&#1054;%20&#1061;&#1052;&#1056;%202019%20&#1043;&#1054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.сады дети пр2"/>
      <sheetName val="ДПЦ"/>
      <sheetName val="д.сады.воспитатели +ПППпри12"/>
      <sheetName val="д.сады М,Б (рук)прил10"/>
      <sheetName val="ДПЦ лугов"/>
      <sheetName val="д.сады М,Б(прочиеприл.11)"/>
      <sheetName val="д.сады"/>
      <sheetName val=" свод"/>
      <sheetName val="дети (2)"/>
      <sheetName val="дети"/>
      <sheetName val="Лист1"/>
      <sheetName val="свод 2018-2019уч.г"/>
      <sheetName val="6300,00 свод ДО 01.012019уч.г "/>
      <sheetName val="свод  ДО 01.012019уч.г "/>
      <sheetName val="РАСЧЕТ целевых показателей на 2"/>
      <sheetName val=" свод01.01.2020г.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2">
          <cell r="C12">
            <v>7</v>
          </cell>
          <cell r="D12">
            <v>124945.50000000001</v>
          </cell>
          <cell r="E12">
            <v>1194.97</v>
          </cell>
        </row>
        <row r="13">
          <cell r="D13">
            <v>388998.1</v>
          </cell>
          <cell r="E13">
            <v>3851.9900000000002</v>
          </cell>
        </row>
      </sheetData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ШР (ЛУГОВСКОЙ ПП) осно."/>
      <sheetName val="ФОТ"/>
      <sheetName val="ШР"/>
      <sheetName val="ШР (ГОРНОПРАВДИНСК ПП)  (2)"/>
      <sheetName val="ШР (ЛУГОВСКОЙ ПП) (2)"/>
      <sheetName val="ШР ЛУГОВСКОЙ ПП основ."/>
      <sheetName val="ШР ГОРНОПРАВДИНСК ПП осн."/>
      <sheetName val="ШР ГОРНОПРАВДИНСК ПП Персониф."/>
      <sheetName val="ШР ЛУГОВСКОЙ ПП Персониф."/>
      <sheetName val="ШР (ПП СОВМЕСТИТЕЛИ)"/>
      <sheetName val="Ш.Р.персонифицированный"/>
      <sheetName val="Ш.Р. "/>
      <sheetName val="расчет 2019"/>
      <sheetName val="расчет"/>
      <sheetName val="Ш.Р.совместители"/>
    </sheetNames>
    <sheetDataSet>
      <sheetData sheetId="0" refreshError="1"/>
      <sheetData sheetId="1" refreshError="1"/>
      <sheetData sheetId="2" refreshError="1"/>
      <sheetData sheetId="3" refreshError="1">
        <row r="78">
          <cell r="AU78">
            <v>388998.1</v>
          </cell>
          <cell r="BF78">
            <v>3851.9900000000002</v>
          </cell>
        </row>
        <row r="80">
          <cell r="G80">
            <v>21</v>
          </cell>
        </row>
      </sheetData>
      <sheetData sheetId="4" refreshError="1"/>
      <sheetData sheetId="5" refreshError="1">
        <row r="66">
          <cell r="G66">
            <v>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A14"/>
  <sheetViews>
    <sheetView topLeftCell="G1" zoomScale="70" zoomScaleNormal="70" workbookViewId="0">
      <selection activeCell="Q11" sqref="Q11"/>
    </sheetView>
  </sheetViews>
  <sheetFormatPr defaultRowHeight="15" x14ac:dyDescent="0.25"/>
  <cols>
    <col min="2" max="2" width="48.42578125" customWidth="1"/>
    <col min="3" max="3" width="10.42578125" customWidth="1"/>
    <col min="4" max="4" width="15.5703125" customWidth="1"/>
    <col min="5" max="5" width="14.28515625" customWidth="1"/>
    <col min="6" max="6" width="12.42578125" customWidth="1"/>
    <col min="7" max="7" width="14" customWidth="1"/>
    <col min="8" max="8" width="17.28515625" customWidth="1"/>
    <col min="9" max="9" width="15.85546875" customWidth="1"/>
    <col min="10" max="10" width="16.42578125" customWidth="1"/>
    <col min="11" max="11" width="20.5703125" customWidth="1"/>
    <col min="12" max="12" width="14.28515625" customWidth="1"/>
    <col min="13" max="13" width="15.7109375" customWidth="1"/>
    <col min="14" max="14" width="18.5703125" customWidth="1"/>
    <col min="15" max="15" width="19.5703125" customWidth="1"/>
    <col min="16" max="16" width="17.85546875" customWidth="1"/>
    <col min="17" max="18" width="20.28515625" customWidth="1"/>
    <col min="19" max="19" width="20" customWidth="1"/>
    <col min="20" max="20" width="14.85546875" customWidth="1"/>
    <col min="21" max="21" width="18.7109375" customWidth="1"/>
    <col min="22" max="22" width="22" customWidth="1"/>
    <col min="23" max="23" width="22.42578125" customWidth="1"/>
    <col min="24" max="24" width="17.7109375" customWidth="1"/>
    <col min="25" max="25" width="18.5703125" customWidth="1"/>
    <col min="26" max="26" width="16.28515625" customWidth="1"/>
    <col min="27" max="27" width="20.42578125" customWidth="1"/>
  </cols>
  <sheetData>
    <row r="2" spans="1:27" ht="16.5" thickBot="1" x14ac:dyDescent="0.3">
      <c r="A2" s="1"/>
      <c r="B2" s="110" t="s">
        <v>0</v>
      </c>
      <c r="C2" s="111"/>
      <c r="D2" s="111"/>
      <c r="E2" s="111"/>
      <c r="F2" s="111"/>
      <c r="G2" s="111"/>
      <c r="H2" s="111"/>
      <c r="I2" s="111"/>
      <c r="J2" s="111"/>
      <c r="K2" s="111"/>
      <c r="L2" s="2"/>
      <c r="M2" s="2"/>
      <c r="N2" s="2"/>
      <c r="O2" s="2"/>
      <c r="P2" s="2"/>
      <c r="Q2" s="2"/>
      <c r="R2" s="2"/>
      <c r="S2" s="3"/>
      <c r="T2" s="3"/>
      <c r="U2" s="3"/>
      <c r="V2" s="4"/>
      <c r="W2" s="4"/>
      <c r="X2" s="4"/>
      <c r="Y2" s="4"/>
      <c r="Z2" s="4"/>
      <c r="AA2" s="4"/>
    </row>
    <row r="3" spans="1:27" ht="121.5" customHeight="1" x14ac:dyDescent="0.25">
      <c r="A3" s="112"/>
      <c r="B3" s="114"/>
      <c r="C3" s="116" t="s">
        <v>1</v>
      </c>
      <c r="D3" s="114"/>
      <c r="E3" s="117"/>
      <c r="F3" s="116" t="s">
        <v>2</v>
      </c>
      <c r="G3" s="114"/>
      <c r="H3" s="118"/>
      <c r="I3" s="119" t="s">
        <v>45</v>
      </c>
      <c r="J3" s="119"/>
      <c r="K3" s="119"/>
      <c r="L3" s="124" t="s">
        <v>3</v>
      </c>
      <c r="M3" s="125"/>
      <c r="N3" s="125"/>
      <c r="O3" s="125"/>
      <c r="P3" s="125"/>
      <c r="Q3" s="125"/>
      <c r="R3" s="125"/>
      <c r="S3" s="126" t="s">
        <v>4</v>
      </c>
      <c r="T3" s="126" t="s">
        <v>5</v>
      </c>
      <c r="U3" s="126" t="s">
        <v>6</v>
      </c>
      <c r="V3" s="129" t="s">
        <v>7</v>
      </c>
      <c r="W3" s="131" t="s">
        <v>8</v>
      </c>
      <c r="X3" s="120" t="s">
        <v>9</v>
      </c>
      <c r="Y3" s="5" t="s">
        <v>10</v>
      </c>
      <c r="Z3" s="122" t="s">
        <v>11</v>
      </c>
      <c r="AA3" s="122" t="s">
        <v>12</v>
      </c>
    </row>
    <row r="4" spans="1:27" ht="93.75" x14ac:dyDescent="0.25">
      <c r="A4" s="113"/>
      <c r="B4" s="115"/>
      <c r="C4" s="6" t="s">
        <v>13</v>
      </c>
      <c r="D4" s="6" t="s">
        <v>14</v>
      </c>
      <c r="E4" s="6" t="s">
        <v>15</v>
      </c>
      <c r="F4" s="6" t="s">
        <v>13</v>
      </c>
      <c r="G4" s="6" t="s">
        <v>14</v>
      </c>
      <c r="H4" s="6" t="s">
        <v>15</v>
      </c>
      <c r="I4" s="7" t="s">
        <v>16</v>
      </c>
      <c r="J4" s="7" t="s">
        <v>17</v>
      </c>
      <c r="K4" s="7" t="s">
        <v>18</v>
      </c>
      <c r="L4" s="8" t="s">
        <v>19</v>
      </c>
      <c r="M4" s="9" t="s">
        <v>20</v>
      </c>
      <c r="N4" s="10" t="s">
        <v>21</v>
      </c>
      <c r="O4" s="10" t="s">
        <v>22</v>
      </c>
      <c r="P4" s="10" t="s">
        <v>23</v>
      </c>
      <c r="Q4" s="10" t="s">
        <v>24</v>
      </c>
      <c r="R4" s="10" t="s">
        <v>25</v>
      </c>
      <c r="S4" s="127"/>
      <c r="T4" s="128"/>
      <c r="U4" s="128"/>
      <c r="V4" s="130"/>
      <c r="W4" s="121"/>
      <c r="X4" s="121"/>
      <c r="Y4" s="11" t="s">
        <v>26</v>
      </c>
      <c r="Z4" s="123"/>
      <c r="AA4" s="123"/>
    </row>
    <row r="5" spans="1:27" ht="18.75" x14ac:dyDescent="0.25">
      <c r="A5" s="12" t="s">
        <v>27</v>
      </c>
      <c r="B5" s="13" t="s">
        <v>28</v>
      </c>
      <c r="C5" s="13">
        <v>1</v>
      </c>
      <c r="D5" s="13">
        <f>C5+1</f>
        <v>2</v>
      </c>
      <c r="E5" s="13">
        <f t="shared" ref="E5:AA5" si="0">D5+1</f>
        <v>3</v>
      </c>
      <c r="F5" s="13">
        <f t="shared" si="0"/>
        <v>4</v>
      </c>
      <c r="G5" s="13">
        <f t="shared" si="0"/>
        <v>5</v>
      </c>
      <c r="H5" s="13">
        <f t="shared" si="0"/>
        <v>6</v>
      </c>
      <c r="I5" s="13">
        <f t="shared" si="0"/>
        <v>7</v>
      </c>
      <c r="J5" s="13">
        <f t="shared" si="0"/>
        <v>8</v>
      </c>
      <c r="K5" s="13">
        <f t="shared" si="0"/>
        <v>9</v>
      </c>
      <c r="L5" s="13">
        <f t="shared" si="0"/>
        <v>10</v>
      </c>
      <c r="M5" s="14">
        <f t="shared" si="0"/>
        <v>11</v>
      </c>
      <c r="N5" s="13">
        <f t="shared" si="0"/>
        <v>12</v>
      </c>
      <c r="O5" s="13">
        <f t="shared" si="0"/>
        <v>13</v>
      </c>
      <c r="P5" s="13">
        <f t="shared" si="0"/>
        <v>14</v>
      </c>
      <c r="Q5" s="13">
        <f t="shared" si="0"/>
        <v>15</v>
      </c>
      <c r="R5" s="13">
        <f t="shared" si="0"/>
        <v>16</v>
      </c>
      <c r="S5" s="13">
        <f t="shared" si="0"/>
        <v>17</v>
      </c>
      <c r="T5" s="13">
        <f t="shared" si="0"/>
        <v>18</v>
      </c>
      <c r="U5" s="13">
        <f t="shared" si="0"/>
        <v>19</v>
      </c>
      <c r="V5" s="15">
        <f t="shared" si="0"/>
        <v>20</v>
      </c>
      <c r="W5" s="15">
        <f t="shared" si="0"/>
        <v>21</v>
      </c>
      <c r="X5" s="15">
        <f t="shared" si="0"/>
        <v>22</v>
      </c>
      <c r="Y5" s="13">
        <f t="shared" si="0"/>
        <v>23</v>
      </c>
      <c r="Z5" s="16">
        <f t="shared" si="0"/>
        <v>24</v>
      </c>
      <c r="AA5" s="16">
        <f t="shared" si="0"/>
        <v>25</v>
      </c>
    </row>
    <row r="6" spans="1:27" ht="97.5" customHeight="1" x14ac:dyDescent="0.25">
      <c r="A6" s="17" t="s">
        <v>29</v>
      </c>
      <c r="B6" s="18" t="s">
        <v>30</v>
      </c>
      <c r="C6" s="19">
        <v>37</v>
      </c>
      <c r="D6" s="20">
        <v>64195</v>
      </c>
      <c r="E6" s="20">
        <f>C6*D6*12</f>
        <v>28502580</v>
      </c>
      <c r="F6" s="21">
        <v>37</v>
      </c>
      <c r="G6" s="21">
        <v>66417</v>
      </c>
      <c r="H6" s="20">
        <f>F6*G6*12</f>
        <v>29489148</v>
      </c>
      <c r="I6" s="22">
        <v>942420</v>
      </c>
      <c r="J6" s="22">
        <v>284607</v>
      </c>
      <c r="K6" s="22">
        <f t="shared" ref="K6:K11" si="1">I6+J6</f>
        <v>1227027</v>
      </c>
      <c r="L6" s="23">
        <v>42.25</v>
      </c>
      <c r="M6" s="24">
        <v>37</v>
      </c>
      <c r="N6" s="25">
        <v>779842.9</v>
      </c>
      <c r="O6" s="25">
        <v>6134.58</v>
      </c>
      <c r="P6" s="25">
        <f>(N6+O6)*1.2</f>
        <v>943172.97599999991</v>
      </c>
      <c r="Q6" s="25">
        <f>(N6+O6+P6)*0.2</f>
        <v>345830.09119999997</v>
      </c>
      <c r="R6" s="25">
        <f>(N6+O6+P6+Q6)*0.1</f>
        <v>207498.05471999999</v>
      </c>
      <c r="S6" s="25">
        <f>N6+O6+P6+Q6+R6</f>
        <v>2282478.6019199998</v>
      </c>
      <c r="T6" s="25">
        <f>T8+T9+T7</f>
        <v>0</v>
      </c>
      <c r="U6" s="26">
        <f>S6+T6</f>
        <v>2282478.6019199998</v>
      </c>
      <c r="V6" s="27">
        <f>U6*12</f>
        <v>27389743.22304</v>
      </c>
      <c r="W6" s="28">
        <f t="shared" ref="W6:W11" si="2">V6*30.2/100</f>
        <v>8271702.4533580793</v>
      </c>
      <c r="X6" s="28">
        <f>X8+X9+X7</f>
        <v>41372121.508502394</v>
      </c>
      <c r="Y6" s="26">
        <f t="shared" ref="Y6:Y11" si="3">V6/12/M6</f>
        <v>61688.610862702699</v>
      </c>
      <c r="Z6" s="29">
        <v>66417</v>
      </c>
      <c r="AA6" s="29">
        <f>Z6*12*M6</f>
        <v>29489148</v>
      </c>
    </row>
    <row r="7" spans="1:27" ht="50.25" customHeight="1" x14ac:dyDescent="0.3">
      <c r="A7" s="30" t="s">
        <v>31</v>
      </c>
      <c r="B7" s="31" t="s">
        <v>32</v>
      </c>
      <c r="C7" s="32"/>
      <c r="D7" s="33"/>
      <c r="E7" s="33"/>
      <c r="F7" s="34"/>
      <c r="G7" s="35"/>
      <c r="H7" s="33"/>
      <c r="I7" s="22">
        <f>H7*3.19583/100</f>
        <v>0</v>
      </c>
      <c r="J7" s="22">
        <f>I7*30.2/100</f>
        <v>0</v>
      </c>
      <c r="K7" s="22">
        <f t="shared" si="1"/>
        <v>0</v>
      </c>
      <c r="L7" s="36">
        <f>'[1]свод  ДО 01.012019уч.г '!C12</f>
        <v>7</v>
      </c>
      <c r="M7" s="37"/>
      <c r="N7" s="38">
        <f>'[1]свод  ДО 01.012019уч.г '!D12</f>
        <v>124945.50000000001</v>
      </c>
      <c r="O7" s="38">
        <f>'[1]свод  ДО 01.012019уч.г '!E12</f>
        <v>1194.97</v>
      </c>
      <c r="P7" s="39">
        <f>(N7+O7)*1.2</f>
        <v>151368.56400000001</v>
      </c>
      <c r="Q7" s="39">
        <f>(N7+O7+P7)*0.2</f>
        <v>55501.806800000013</v>
      </c>
      <c r="R7" s="39">
        <f>(N7+O7+P7+Q7)*0.1</f>
        <v>33301.084080000008</v>
      </c>
      <c r="S7" s="39">
        <f>N7+O7+P7+Q7+R7</f>
        <v>366311.92488000006</v>
      </c>
      <c r="T7" s="38"/>
      <c r="U7" s="39">
        <f>S7+T7</f>
        <v>366311.92488000006</v>
      </c>
      <c r="V7" s="40">
        <f>U7*12</f>
        <v>4395743.0985600008</v>
      </c>
      <c r="W7" s="41">
        <f t="shared" si="2"/>
        <v>1327514.4157651202</v>
      </c>
      <c r="X7" s="41">
        <f>V7+W7</f>
        <v>5723257.5143251214</v>
      </c>
      <c r="Y7" s="26" t="e">
        <f t="shared" si="3"/>
        <v>#DIV/0!</v>
      </c>
      <c r="Z7" s="42"/>
      <c r="AA7" s="42"/>
    </row>
    <row r="8" spans="1:27" ht="75.75" customHeight="1" x14ac:dyDescent="0.25">
      <c r="A8" s="30" t="s">
        <v>33</v>
      </c>
      <c r="B8" s="43" t="s">
        <v>34</v>
      </c>
      <c r="C8" s="44"/>
      <c r="D8" s="45"/>
      <c r="E8" s="45"/>
      <c r="F8" s="46"/>
      <c r="G8" s="46"/>
      <c r="H8" s="45"/>
      <c r="I8" s="22">
        <f>H8*3.19583/100</f>
        <v>0</v>
      </c>
      <c r="J8" s="22">
        <f>I8*30.2/100</f>
        <v>0</v>
      </c>
      <c r="K8" s="22">
        <f t="shared" si="1"/>
        <v>0</v>
      </c>
      <c r="L8" s="36">
        <f>'[2]ШР ЛУГОВСКОЙ ПП основ.'!$G$66</f>
        <v>7</v>
      </c>
      <c r="M8" s="37"/>
      <c r="N8" s="38">
        <f>'[1]свод  ДО 01.012019уч.г '!D13</f>
        <v>388998.1</v>
      </c>
      <c r="O8" s="38">
        <f>'[1]свод  ДО 01.012019уч.г '!E13</f>
        <v>3851.9900000000002</v>
      </c>
      <c r="P8" s="39">
        <f>(N8+O8)*1.2</f>
        <v>471420.10799999995</v>
      </c>
      <c r="Q8" s="39">
        <f>(N8+O8+P8)*0.2</f>
        <v>172854.03959999999</v>
      </c>
      <c r="R8" s="39">
        <f>(N8+O8+P8+Q8)*0.1</f>
        <v>103712.42375999999</v>
      </c>
      <c r="S8" s="39">
        <f>N8+O8+P8+Q8+R8</f>
        <v>1140836.6613599998</v>
      </c>
      <c r="T8" s="38"/>
      <c r="U8" s="39">
        <f>S8+T8</f>
        <v>1140836.6613599998</v>
      </c>
      <c r="V8" s="40">
        <f>U8*12</f>
        <v>13690039.936319998</v>
      </c>
      <c r="W8" s="41">
        <f t="shared" si="2"/>
        <v>4134392.0607686397</v>
      </c>
      <c r="X8" s="41">
        <f>V8+W8</f>
        <v>17824431.997088637</v>
      </c>
      <c r="Y8" s="26" t="e">
        <f t="shared" si="3"/>
        <v>#DIV/0!</v>
      </c>
      <c r="Z8" s="47"/>
      <c r="AA8" s="47"/>
    </row>
    <row r="9" spans="1:27" ht="37.5" x14ac:dyDescent="0.25">
      <c r="A9" s="30" t="s">
        <v>35</v>
      </c>
      <c r="B9" s="43" t="s">
        <v>36</v>
      </c>
      <c r="C9" s="44"/>
      <c r="D9" s="45"/>
      <c r="E9" s="45"/>
      <c r="F9" s="46"/>
      <c r="G9" s="46"/>
      <c r="H9" s="45"/>
      <c r="I9" s="22">
        <f>H9*3.19583/100</f>
        <v>0</v>
      </c>
      <c r="J9" s="22">
        <f>I9*30.2/100</f>
        <v>0</v>
      </c>
      <c r="K9" s="22">
        <f t="shared" si="1"/>
        <v>0</v>
      </c>
      <c r="L9" s="36">
        <f>'[2]ШР (ГОРНОПРАВДИНСК ПП)  (2)'!$G$80</f>
        <v>21</v>
      </c>
      <c r="M9" s="37"/>
      <c r="N9" s="38">
        <v>388998.1</v>
      </c>
      <c r="O9" s="38">
        <f>'[2]ШР (ГОРНОПРАВДИНСК ПП)  (2)'!$BF$78</f>
        <v>3851.9900000000002</v>
      </c>
      <c r="P9" s="39">
        <f>(N9+O9)*1.2</f>
        <v>471420.10799999995</v>
      </c>
      <c r="Q9" s="39">
        <f>(N9+O9+P9)*0.2</f>
        <v>172854.03959999999</v>
      </c>
      <c r="R9" s="39">
        <f>(N9+O9+P9+Q9)*0.1</f>
        <v>103712.42375999999</v>
      </c>
      <c r="S9" s="39">
        <f>N9+O9+P9+Q9+R9</f>
        <v>1140836.6613599998</v>
      </c>
      <c r="T9" s="38"/>
      <c r="U9" s="39">
        <f>S9+T9</f>
        <v>1140836.6613599998</v>
      </c>
      <c r="V9" s="40">
        <f>U9*12</f>
        <v>13690039.936319998</v>
      </c>
      <c r="W9" s="41">
        <f t="shared" si="2"/>
        <v>4134392.0607686397</v>
      </c>
      <c r="X9" s="41">
        <f>V9+W9</f>
        <v>17824431.997088637</v>
      </c>
      <c r="Y9" s="26" t="e">
        <f t="shared" si="3"/>
        <v>#DIV/0!</v>
      </c>
      <c r="Z9" s="47"/>
      <c r="AA9" s="47"/>
    </row>
    <row r="10" spans="1:27" ht="48.75" customHeight="1" x14ac:dyDescent="0.25">
      <c r="A10" s="17" t="s">
        <v>37</v>
      </c>
      <c r="B10" s="18" t="s">
        <v>38</v>
      </c>
      <c r="C10" s="48">
        <v>14</v>
      </c>
      <c r="D10" s="20">
        <v>79268.5</v>
      </c>
      <c r="E10" s="20">
        <f>C10*D10*12</f>
        <v>13317108</v>
      </c>
      <c r="F10" s="21">
        <v>14</v>
      </c>
      <c r="G10" s="21">
        <v>82042.61</v>
      </c>
      <c r="H10" s="20">
        <f>F10*G10*12</f>
        <v>13783158.48</v>
      </c>
      <c r="I10" s="22">
        <v>440486</v>
      </c>
      <c r="J10" s="22">
        <v>133026</v>
      </c>
      <c r="K10" s="22">
        <f t="shared" si="1"/>
        <v>573512</v>
      </c>
      <c r="L10" s="36">
        <v>14</v>
      </c>
      <c r="M10" s="37">
        <v>14</v>
      </c>
      <c r="N10" s="38"/>
      <c r="O10" s="38"/>
      <c r="P10" s="39"/>
      <c r="Q10" s="39"/>
      <c r="R10" s="39"/>
      <c r="S10" s="39"/>
      <c r="T10" s="38"/>
      <c r="U10" s="39"/>
      <c r="V10" s="49">
        <v>13684464.02</v>
      </c>
      <c r="W10" s="28">
        <f t="shared" si="2"/>
        <v>4132708.1340399999</v>
      </c>
      <c r="X10" s="28">
        <f>SUM(V10:W10)</f>
        <v>17817172.154040001</v>
      </c>
      <c r="Y10" s="26">
        <f t="shared" si="3"/>
        <v>81455.142976190473</v>
      </c>
      <c r="Z10" s="29">
        <v>82042.61</v>
      </c>
      <c r="AA10" s="29">
        <f>M10*12*Z10</f>
        <v>13783158.48</v>
      </c>
    </row>
    <row r="11" spans="1:27" ht="111" customHeight="1" x14ac:dyDescent="0.25">
      <c r="A11" s="17" t="s">
        <v>39</v>
      </c>
      <c r="B11" s="18" t="s">
        <v>40</v>
      </c>
      <c r="C11" s="48">
        <v>17.5</v>
      </c>
      <c r="D11" s="20">
        <v>60884.3</v>
      </c>
      <c r="E11" s="20">
        <f>C11*D11*12</f>
        <v>12785703</v>
      </c>
      <c r="F11" s="21">
        <v>18</v>
      </c>
      <c r="G11" s="21">
        <v>63015.25</v>
      </c>
      <c r="H11" s="20">
        <f>F11*G11*12</f>
        <v>13611294</v>
      </c>
      <c r="I11" s="22">
        <v>434994</v>
      </c>
      <c r="J11" s="22">
        <v>131367</v>
      </c>
      <c r="K11" s="22">
        <f t="shared" si="1"/>
        <v>566361</v>
      </c>
      <c r="L11" s="36">
        <v>18</v>
      </c>
      <c r="M11" s="37">
        <v>18</v>
      </c>
      <c r="N11" s="38"/>
      <c r="O11" s="38"/>
      <c r="P11" s="39"/>
      <c r="Q11" s="39"/>
      <c r="R11" s="39"/>
      <c r="S11" s="39"/>
      <c r="T11" s="38"/>
      <c r="U11" s="39"/>
      <c r="V11" s="49">
        <v>14371620.119999999</v>
      </c>
      <c r="W11" s="28">
        <f t="shared" si="2"/>
        <v>4340229.2762399996</v>
      </c>
      <c r="X11" s="28">
        <f>SUM(V11:W11)</f>
        <v>18711849.39624</v>
      </c>
      <c r="Y11" s="26">
        <f t="shared" si="3"/>
        <v>66535.278333333335</v>
      </c>
      <c r="Z11" s="29">
        <v>63015.25</v>
      </c>
      <c r="AA11" s="29">
        <f>M11*12*Z11</f>
        <v>13611294</v>
      </c>
    </row>
    <row r="12" spans="1:27" ht="59.25" customHeight="1" thickBot="1" x14ac:dyDescent="0.3">
      <c r="A12" s="50"/>
      <c r="B12" s="51" t="s">
        <v>41</v>
      </c>
      <c r="C12" s="52">
        <f>C6+C10+C11</f>
        <v>68.5</v>
      </c>
      <c r="D12" s="53">
        <v>66429.899999999994</v>
      </c>
      <c r="E12" s="54">
        <f>E6+E10+E11</f>
        <v>54605391</v>
      </c>
      <c r="F12" s="55">
        <f>F6+F10+F11</f>
        <v>69</v>
      </c>
      <c r="G12" s="55">
        <v>68700</v>
      </c>
      <c r="H12" s="54">
        <f t="shared" ref="H12:Y12" si="4">H6+H10+H11</f>
        <v>56883600.480000004</v>
      </c>
      <c r="I12" s="56">
        <f t="shared" si="4"/>
        <v>1817900</v>
      </c>
      <c r="J12" s="56">
        <f>J6+J10+J11</f>
        <v>549000</v>
      </c>
      <c r="K12" s="56">
        <f t="shared" si="4"/>
        <v>2366900</v>
      </c>
      <c r="L12" s="57">
        <f t="shared" si="4"/>
        <v>74.25</v>
      </c>
      <c r="M12" s="58">
        <f t="shared" si="4"/>
        <v>69</v>
      </c>
      <c r="N12" s="58">
        <f t="shared" si="4"/>
        <v>779842.9</v>
      </c>
      <c r="O12" s="58">
        <f t="shared" si="4"/>
        <v>6134.58</v>
      </c>
      <c r="P12" s="58">
        <f t="shared" si="4"/>
        <v>943172.97599999991</v>
      </c>
      <c r="Q12" s="58">
        <f t="shared" si="4"/>
        <v>345830.09119999997</v>
      </c>
      <c r="R12" s="58">
        <f t="shared" si="4"/>
        <v>207498.05471999999</v>
      </c>
      <c r="S12" s="58">
        <f t="shared" si="4"/>
        <v>2282478.6019199998</v>
      </c>
      <c r="T12" s="58">
        <f t="shared" si="4"/>
        <v>0</v>
      </c>
      <c r="U12" s="59">
        <f t="shared" si="4"/>
        <v>2282478.6019199998</v>
      </c>
      <c r="V12" s="59">
        <f t="shared" si="4"/>
        <v>55445827.363039993</v>
      </c>
      <c r="W12" s="59">
        <f t="shared" si="4"/>
        <v>16744639.863638077</v>
      </c>
      <c r="X12" s="59">
        <f t="shared" si="4"/>
        <v>77901143.058782399</v>
      </c>
      <c r="Y12" s="59">
        <f t="shared" si="4"/>
        <v>209679.03217222652</v>
      </c>
      <c r="Z12" s="60">
        <v>68700</v>
      </c>
      <c r="AA12" s="60">
        <f>Z12*12*M12</f>
        <v>56883600</v>
      </c>
    </row>
    <row r="13" spans="1:27" ht="31.5" x14ac:dyDescent="0.25">
      <c r="A13" s="61"/>
      <c r="B13" s="62" t="s">
        <v>42</v>
      </c>
      <c r="C13" s="63"/>
      <c r="D13" s="64"/>
      <c r="E13" s="65" t="s">
        <v>43</v>
      </c>
      <c r="F13" s="66"/>
      <c r="G13" s="66"/>
      <c r="H13" s="67"/>
      <c r="I13" s="67"/>
      <c r="J13" s="67"/>
      <c r="K13" s="67"/>
      <c r="L13" s="68"/>
      <c r="M13" s="69">
        <f>L12/M12</f>
        <v>1.076086956521739</v>
      </c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</row>
    <row r="14" spans="1:27" ht="60" x14ac:dyDescent="0.25">
      <c r="A14" s="70"/>
      <c r="B14" s="71" t="s">
        <v>44</v>
      </c>
      <c r="C14" s="71"/>
      <c r="D14" s="71"/>
      <c r="E14" s="72"/>
      <c r="F14" s="72"/>
      <c r="G14" s="72"/>
      <c r="H14" s="72"/>
      <c r="I14" s="72"/>
      <c r="J14" s="72"/>
      <c r="K14" s="72"/>
      <c r="L14" s="73"/>
      <c r="M14" s="73"/>
      <c r="N14" s="73"/>
      <c r="O14" s="73"/>
      <c r="P14" s="74"/>
      <c r="Q14" s="73"/>
      <c r="R14" s="74"/>
      <c r="S14" s="74"/>
      <c r="T14" s="74"/>
      <c r="U14" s="74"/>
      <c r="V14" s="75"/>
      <c r="W14" s="75"/>
      <c r="X14" s="76"/>
    </row>
  </sheetData>
  <mergeCells count="15">
    <mergeCell ref="X3:X4"/>
    <mergeCell ref="Z3:Z4"/>
    <mergeCell ref="AA3:AA4"/>
    <mergeCell ref="L3:R3"/>
    <mergeCell ref="S3:S4"/>
    <mergeCell ref="T3:T4"/>
    <mergeCell ref="U3:U4"/>
    <mergeCell ref="V3:V4"/>
    <mergeCell ref="W3:W4"/>
    <mergeCell ref="B2:K2"/>
    <mergeCell ref="A3:A4"/>
    <mergeCell ref="B3:B4"/>
    <mergeCell ref="C3:E3"/>
    <mergeCell ref="F3:H3"/>
    <mergeCell ref="I3:K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Q26"/>
  <sheetViews>
    <sheetView tabSelected="1" topLeftCell="A13" workbookViewId="0">
      <selection activeCell="F22" sqref="F22"/>
    </sheetView>
  </sheetViews>
  <sheetFormatPr defaultColWidth="9.140625" defaultRowHeight="15" x14ac:dyDescent="0.25"/>
  <cols>
    <col min="1" max="1" width="4.7109375" style="77" customWidth="1"/>
    <col min="2" max="2" width="23.7109375" style="77" customWidth="1"/>
    <col min="3" max="3" width="17.140625" style="77" customWidth="1"/>
    <col min="4" max="9" width="14.42578125" style="77" customWidth="1"/>
    <col min="10" max="11" width="18.140625" style="77" customWidth="1"/>
    <col min="12" max="12" width="21.140625" style="77" customWidth="1"/>
    <col min="13" max="13" width="18.28515625" style="77" customWidth="1"/>
    <col min="14" max="15" width="16" style="77" customWidth="1"/>
    <col min="16" max="16" width="9.140625" style="77"/>
    <col min="17" max="17" width="12" style="77" bestFit="1" customWidth="1"/>
    <col min="18" max="16384" width="9.140625" style="77"/>
  </cols>
  <sheetData>
    <row r="2" spans="1:17" ht="32.25" customHeight="1" x14ac:dyDescent="0.25">
      <c r="A2" s="134" t="s">
        <v>84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01"/>
    </row>
    <row r="3" spans="1:17" x14ac:dyDescent="0.25">
      <c r="A3" s="81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7" ht="252" x14ac:dyDescent="0.25">
      <c r="A4" s="78" t="s">
        <v>46</v>
      </c>
      <c r="B4" s="78" t="s">
        <v>63</v>
      </c>
      <c r="C4" s="78" t="s">
        <v>82</v>
      </c>
      <c r="D4" s="78" t="s">
        <v>83</v>
      </c>
      <c r="E4" s="78" t="s">
        <v>64</v>
      </c>
      <c r="F4" s="78" t="s">
        <v>65</v>
      </c>
      <c r="G4" s="78" t="s">
        <v>75</v>
      </c>
      <c r="H4" s="78" t="s">
        <v>66</v>
      </c>
      <c r="I4" s="78" t="s">
        <v>67</v>
      </c>
      <c r="J4" s="78" t="s">
        <v>62</v>
      </c>
      <c r="K4" s="78" t="s">
        <v>72</v>
      </c>
      <c r="L4" s="78" t="s">
        <v>60</v>
      </c>
      <c r="M4" s="78" t="s">
        <v>61</v>
      </c>
      <c r="N4" s="78" t="s">
        <v>77</v>
      </c>
      <c r="O4" s="102"/>
    </row>
    <row r="5" spans="1:17" ht="15.75" x14ac:dyDescent="0.25">
      <c r="A5" s="98">
        <v>1</v>
      </c>
      <c r="B5" s="98">
        <v>2</v>
      </c>
      <c r="C5" s="98">
        <v>3</v>
      </c>
      <c r="D5" s="98">
        <v>4</v>
      </c>
      <c r="E5" s="98">
        <v>5</v>
      </c>
      <c r="F5" s="98" t="s">
        <v>69</v>
      </c>
      <c r="G5" s="98">
        <v>7</v>
      </c>
      <c r="H5" s="98" t="s">
        <v>70</v>
      </c>
      <c r="I5" s="98" t="s">
        <v>71</v>
      </c>
      <c r="J5" s="98">
        <v>10</v>
      </c>
      <c r="K5" s="98" t="s">
        <v>73</v>
      </c>
      <c r="L5" s="98" t="s">
        <v>76</v>
      </c>
      <c r="M5" s="98">
        <v>13</v>
      </c>
      <c r="N5" s="98" t="s">
        <v>74</v>
      </c>
      <c r="O5" s="103"/>
    </row>
    <row r="6" spans="1:17" ht="15.75" x14ac:dyDescent="0.25">
      <c r="A6" s="83">
        <v>1</v>
      </c>
      <c r="B6" s="84" t="s">
        <v>47</v>
      </c>
      <c r="C6" s="78">
        <v>9</v>
      </c>
      <c r="D6" s="96" t="s">
        <v>68</v>
      </c>
      <c r="E6" s="96" t="s">
        <v>68</v>
      </c>
      <c r="F6" s="91">
        <f>SUM(C6*D$18*E$18)</f>
        <v>10013.328</v>
      </c>
      <c r="G6" s="96" t="s">
        <v>68</v>
      </c>
      <c r="H6" s="86">
        <f>SUM(F6*G$18)</f>
        <v>3024.0250559999999</v>
      </c>
      <c r="I6" s="86">
        <f>SUM(F6+H6)</f>
        <v>13037.353056</v>
      </c>
      <c r="J6" s="86">
        <v>3372</v>
      </c>
      <c r="K6" s="85">
        <f t="shared" ref="K6:K17" si="0">SUM(I6-J6)</f>
        <v>9665.3530559999999</v>
      </c>
      <c r="L6" s="97">
        <f t="shared" ref="L6:L17" si="1">SUM(K6*100/K$18)</f>
        <v>9.9009121422702417</v>
      </c>
      <c r="M6" s="80" t="s">
        <v>68</v>
      </c>
      <c r="N6" s="93">
        <f>SUM(L6*M$18/100)</f>
        <v>4832.6748202906738</v>
      </c>
      <c r="O6" s="104"/>
      <c r="P6" s="88"/>
      <c r="Q6" s="100"/>
    </row>
    <row r="7" spans="1:17" ht="15.75" x14ac:dyDescent="0.25">
      <c r="A7" s="83">
        <f>A6+1</f>
        <v>2</v>
      </c>
      <c r="B7" s="84" t="s">
        <v>48</v>
      </c>
      <c r="C7" s="78">
        <v>23.2</v>
      </c>
      <c r="D7" s="96" t="s">
        <v>68</v>
      </c>
      <c r="E7" s="96" t="s">
        <v>68</v>
      </c>
      <c r="F7" s="91">
        <f t="shared" ref="F7:F17" si="2">SUM(C7*D$18*E$18)</f>
        <v>25812.134399999999</v>
      </c>
      <c r="G7" s="96" t="s">
        <v>68</v>
      </c>
      <c r="H7" s="86">
        <f t="shared" ref="H7:H17" si="3">SUM(F7*G$18)</f>
        <v>7795.2645887999997</v>
      </c>
      <c r="I7" s="86">
        <f t="shared" ref="I7:I17" si="4">SUM(F7+H7)</f>
        <v>33607.3989888</v>
      </c>
      <c r="J7" s="86">
        <v>18420.86</v>
      </c>
      <c r="K7" s="85">
        <f t="shared" si="0"/>
        <v>15186.538988799999</v>
      </c>
      <c r="L7" s="97">
        <f t="shared" si="1"/>
        <v>15.556657620481895</v>
      </c>
      <c r="M7" s="80" t="s">
        <v>68</v>
      </c>
      <c r="N7" s="93">
        <f t="shared" ref="N7:N17" si="5">SUM(L7*M$18/100)</f>
        <v>7593.2668111876947</v>
      </c>
      <c r="O7" s="104"/>
      <c r="P7" s="88"/>
      <c r="Q7" s="100"/>
    </row>
    <row r="8" spans="1:17" ht="15.75" x14ac:dyDescent="0.25">
      <c r="A8" s="83">
        <f t="shared" ref="A8:A17" si="6">A7+1</f>
        <v>3</v>
      </c>
      <c r="B8" s="84" t="s">
        <v>49</v>
      </c>
      <c r="C8" s="78">
        <v>9</v>
      </c>
      <c r="D8" s="96" t="s">
        <v>68</v>
      </c>
      <c r="E8" s="96" t="s">
        <v>68</v>
      </c>
      <c r="F8" s="91">
        <f t="shared" si="2"/>
        <v>10013.328</v>
      </c>
      <c r="G8" s="96" t="s">
        <v>68</v>
      </c>
      <c r="H8" s="86">
        <f t="shared" si="3"/>
        <v>3024.0250559999999</v>
      </c>
      <c r="I8" s="86">
        <f t="shared" si="4"/>
        <v>13037.353056</v>
      </c>
      <c r="J8" s="86">
        <v>3379.85</v>
      </c>
      <c r="K8" s="85">
        <f t="shared" si="0"/>
        <v>9657.5030559999996</v>
      </c>
      <c r="L8" s="97">
        <f t="shared" si="1"/>
        <v>9.8928708260486307</v>
      </c>
      <c r="M8" s="80" t="s">
        <v>68</v>
      </c>
      <c r="N8" s="93">
        <f t="shared" si="5"/>
        <v>4828.7498216776412</v>
      </c>
      <c r="O8" s="104"/>
      <c r="P8" s="88"/>
      <c r="Q8" s="100"/>
    </row>
    <row r="9" spans="1:17" ht="15.75" x14ac:dyDescent="0.25">
      <c r="A9" s="83">
        <f t="shared" si="6"/>
        <v>4</v>
      </c>
      <c r="B9" s="84" t="s">
        <v>50</v>
      </c>
      <c r="C9" s="78">
        <v>4</v>
      </c>
      <c r="D9" s="96" t="s">
        <v>68</v>
      </c>
      <c r="E9" s="96" t="s">
        <v>68</v>
      </c>
      <c r="F9" s="91">
        <f t="shared" si="2"/>
        <v>4450.3679999999995</v>
      </c>
      <c r="G9" s="96" t="s">
        <v>68</v>
      </c>
      <c r="H9" s="86">
        <f t="shared" si="3"/>
        <v>1344.0111359999999</v>
      </c>
      <c r="I9" s="86">
        <f t="shared" si="4"/>
        <v>5794.3791359999996</v>
      </c>
      <c r="J9" s="86">
        <v>1653.1200000000001</v>
      </c>
      <c r="K9" s="85">
        <f t="shared" si="0"/>
        <v>4141.2591359999997</v>
      </c>
      <c r="L9" s="97">
        <f t="shared" si="1"/>
        <v>4.2421878048683226</v>
      </c>
      <c r="M9" s="80" t="s">
        <v>68</v>
      </c>
      <c r="N9" s="93">
        <f t="shared" si="5"/>
        <v>2070.6288363074477</v>
      </c>
      <c r="O9" s="104"/>
      <c r="P9" s="88"/>
      <c r="Q9" s="100"/>
    </row>
    <row r="10" spans="1:17" ht="15.75" x14ac:dyDescent="0.25">
      <c r="A10" s="83">
        <f t="shared" si="6"/>
        <v>5</v>
      </c>
      <c r="B10" s="84" t="s">
        <v>51</v>
      </c>
      <c r="C10" s="78">
        <v>3.2</v>
      </c>
      <c r="D10" s="96" t="s">
        <v>68</v>
      </c>
      <c r="E10" s="96" t="s">
        <v>68</v>
      </c>
      <c r="F10" s="91">
        <f t="shared" si="2"/>
        <v>3560.2943999999998</v>
      </c>
      <c r="G10" s="96" t="s">
        <v>68</v>
      </c>
      <c r="H10" s="86">
        <f t="shared" si="3"/>
        <v>1075.2089087999998</v>
      </c>
      <c r="I10" s="86">
        <f t="shared" si="4"/>
        <v>4635.5033088</v>
      </c>
      <c r="J10" s="86">
        <v>3200.93</v>
      </c>
      <c r="K10" s="85">
        <f t="shared" si="0"/>
        <v>1434.5733088000002</v>
      </c>
      <c r="L10" s="97">
        <f t="shared" si="1"/>
        <v>1.469536002438887</v>
      </c>
      <c r="M10" s="80" t="s">
        <v>68</v>
      </c>
      <c r="N10" s="93">
        <f t="shared" si="5"/>
        <v>717.28640093443062</v>
      </c>
      <c r="O10" s="104"/>
      <c r="P10" s="88"/>
      <c r="Q10" s="100"/>
    </row>
    <row r="11" spans="1:17" ht="15.75" x14ac:dyDescent="0.25">
      <c r="A11" s="83">
        <f t="shared" si="6"/>
        <v>6</v>
      </c>
      <c r="B11" s="84" t="s">
        <v>52</v>
      </c>
      <c r="C11" s="78">
        <v>14</v>
      </c>
      <c r="D11" s="96" t="s">
        <v>68</v>
      </c>
      <c r="E11" s="96" t="s">
        <v>68</v>
      </c>
      <c r="F11" s="91">
        <f t="shared" si="2"/>
        <v>15576.287999999999</v>
      </c>
      <c r="G11" s="96" t="s">
        <v>68</v>
      </c>
      <c r="H11" s="86">
        <f t="shared" si="3"/>
        <v>4704.0389759999998</v>
      </c>
      <c r="I11" s="86">
        <f t="shared" si="4"/>
        <v>20280.326975999997</v>
      </c>
      <c r="J11" s="86">
        <v>8758.81</v>
      </c>
      <c r="K11" s="85">
        <f t="shared" si="0"/>
        <v>11521.516975999997</v>
      </c>
      <c r="L11" s="97">
        <f t="shared" si="1"/>
        <v>11.802313548622749</v>
      </c>
      <c r="M11" s="80" t="s">
        <v>68</v>
      </c>
      <c r="N11" s="93">
        <f t="shared" si="5"/>
        <v>5760.7564523369583</v>
      </c>
      <c r="O11" s="104"/>
      <c r="P11" s="88"/>
      <c r="Q11" s="100"/>
    </row>
    <row r="12" spans="1:17" ht="15.75" x14ac:dyDescent="0.25">
      <c r="A12" s="83">
        <f t="shared" si="6"/>
        <v>7</v>
      </c>
      <c r="B12" s="84" t="s">
        <v>53</v>
      </c>
      <c r="C12" s="78">
        <v>7.3</v>
      </c>
      <c r="D12" s="96" t="s">
        <v>68</v>
      </c>
      <c r="E12" s="96" t="s">
        <v>68</v>
      </c>
      <c r="F12" s="91">
        <f t="shared" si="2"/>
        <v>8121.9215999999997</v>
      </c>
      <c r="G12" s="96" t="s">
        <v>68</v>
      </c>
      <c r="H12" s="86">
        <f t="shared" si="3"/>
        <v>2452.8203231999996</v>
      </c>
      <c r="I12" s="86">
        <f t="shared" si="4"/>
        <v>10574.741923199999</v>
      </c>
      <c r="J12" s="86">
        <v>2915.4100000000003</v>
      </c>
      <c r="K12" s="85">
        <f t="shared" si="0"/>
        <v>7659.3319231999994</v>
      </c>
      <c r="L12" s="97">
        <f t="shared" si="1"/>
        <v>7.8460012790751552</v>
      </c>
      <c r="M12" s="80" t="s">
        <v>68</v>
      </c>
      <c r="N12" s="93">
        <f t="shared" si="5"/>
        <v>3829.6646083216997</v>
      </c>
      <c r="O12" s="104"/>
      <c r="P12" s="88"/>
      <c r="Q12" s="100"/>
    </row>
    <row r="13" spans="1:17" ht="15.75" x14ac:dyDescent="0.25">
      <c r="A13" s="83">
        <f t="shared" si="6"/>
        <v>8</v>
      </c>
      <c r="B13" s="84" t="s">
        <v>54</v>
      </c>
      <c r="C13" s="78">
        <v>6.8</v>
      </c>
      <c r="D13" s="96" t="s">
        <v>68</v>
      </c>
      <c r="E13" s="96" t="s">
        <v>68</v>
      </c>
      <c r="F13" s="91">
        <f t="shared" si="2"/>
        <v>7565.6255999999994</v>
      </c>
      <c r="G13" s="96" t="s">
        <v>68</v>
      </c>
      <c r="H13" s="86">
        <f t="shared" si="3"/>
        <v>2284.8189312</v>
      </c>
      <c r="I13" s="86">
        <f t="shared" si="4"/>
        <v>9850.4445311999989</v>
      </c>
      <c r="J13" s="86">
        <v>3004.7999999999997</v>
      </c>
      <c r="K13" s="85">
        <f t="shared" si="0"/>
        <v>6845.6445311999996</v>
      </c>
      <c r="L13" s="97">
        <f t="shared" si="1"/>
        <v>7.0124831103349159</v>
      </c>
      <c r="M13" s="80" t="s">
        <v>68</v>
      </c>
      <c r="N13" s="93">
        <f t="shared" si="5"/>
        <v>3422.8210560869138</v>
      </c>
      <c r="O13" s="104"/>
      <c r="P13" s="88"/>
      <c r="Q13" s="100"/>
    </row>
    <row r="14" spans="1:17" ht="15.75" x14ac:dyDescent="0.25">
      <c r="A14" s="83">
        <f t="shared" si="6"/>
        <v>9</v>
      </c>
      <c r="B14" s="84" t="s">
        <v>55</v>
      </c>
      <c r="C14" s="78">
        <v>15.3</v>
      </c>
      <c r="D14" s="96" t="s">
        <v>68</v>
      </c>
      <c r="E14" s="96" t="s">
        <v>68</v>
      </c>
      <c r="F14" s="91">
        <f t="shared" si="2"/>
        <v>17022.657599999999</v>
      </c>
      <c r="G14" s="96" t="s">
        <v>68</v>
      </c>
      <c r="H14" s="86">
        <f t="shared" si="3"/>
        <v>5140.8425951999998</v>
      </c>
      <c r="I14" s="86">
        <f t="shared" si="4"/>
        <v>22163.500195199998</v>
      </c>
      <c r="J14" s="86">
        <v>4759.32</v>
      </c>
      <c r="K14" s="85">
        <f t="shared" si="0"/>
        <v>17404.180195199999</v>
      </c>
      <c r="L14" s="97">
        <f t="shared" si="1"/>
        <v>17.828346054461495</v>
      </c>
      <c r="M14" s="80" t="s">
        <v>68</v>
      </c>
      <c r="N14" s="93">
        <f t="shared" si="5"/>
        <v>8702.0870225668732</v>
      </c>
      <c r="O14" s="104"/>
      <c r="P14" s="88"/>
      <c r="Q14" s="100"/>
    </row>
    <row r="15" spans="1:17" ht="15.75" x14ac:dyDescent="0.25">
      <c r="A15" s="83">
        <f t="shared" si="6"/>
        <v>10</v>
      </c>
      <c r="B15" s="84" t="s">
        <v>56</v>
      </c>
      <c r="C15" s="78">
        <v>3.5</v>
      </c>
      <c r="D15" s="96" t="s">
        <v>68</v>
      </c>
      <c r="E15" s="96" t="s">
        <v>68</v>
      </c>
      <c r="F15" s="91">
        <f t="shared" si="2"/>
        <v>3894.0719999999997</v>
      </c>
      <c r="G15" s="96" t="s">
        <v>68</v>
      </c>
      <c r="H15" s="86">
        <f t="shared" si="3"/>
        <v>1176.009744</v>
      </c>
      <c r="I15" s="86">
        <f t="shared" si="4"/>
        <v>5070.0817439999992</v>
      </c>
      <c r="J15" s="86">
        <v>1782.55</v>
      </c>
      <c r="K15" s="85">
        <f t="shared" si="0"/>
        <v>3287.531743999999</v>
      </c>
      <c r="L15" s="97">
        <f t="shared" si="1"/>
        <v>3.3676538015403934</v>
      </c>
      <c r="M15" s="80" t="s">
        <v>68</v>
      </c>
      <c r="N15" s="93">
        <f t="shared" si="5"/>
        <v>1643.7652911470723</v>
      </c>
      <c r="O15" s="104"/>
      <c r="P15" s="88"/>
      <c r="Q15" s="100"/>
    </row>
    <row r="16" spans="1:17" ht="15.75" x14ac:dyDescent="0.25">
      <c r="A16" s="83">
        <f t="shared" si="6"/>
        <v>11</v>
      </c>
      <c r="B16" s="84" t="s">
        <v>57</v>
      </c>
      <c r="C16" s="78">
        <v>3.2</v>
      </c>
      <c r="D16" s="96" t="s">
        <v>68</v>
      </c>
      <c r="E16" s="96" t="s">
        <v>68</v>
      </c>
      <c r="F16" s="91">
        <f t="shared" si="2"/>
        <v>3560.2943999999998</v>
      </c>
      <c r="G16" s="96" t="s">
        <v>68</v>
      </c>
      <c r="H16" s="86">
        <f t="shared" si="3"/>
        <v>1075.2089087999998</v>
      </c>
      <c r="I16" s="86">
        <f t="shared" si="4"/>
        <v>4635.5033088</v>
      </c>
      <c r="J16" s="86">
        <v>1831.51</v>
      </c>
      <c r="K16" s="85">
        <f t="shared" si="0"/>
        <v>2803.9933087999998</v>
      </c>
      <c r="L16" s="97">
        <f t="shared" si="1"/>
        <v>2.8723308126554619</v>
      </c>
      <c r="M16" s="80" t="s">
        <v>68</v>
      </c>
      <c r="N16" s="93">
        <f t="shared" si="5"/>
        <v>1401.9961589803818</v>
      </c>
      <c r="O16" s="104"/>
      <c r="P16" s="88"/>
      <c r="Q16" s="100"/>
    </row>
    <row r="17" spans="1:17" ht="15.75" x14ac:dyDescent="0.25">
      <c r="A17" s="83">
        <f t="shared" si="6"/>
        <v>12</v>
      </c>
      <c r="B17" s="84" t="s">
        <v>58</v>
      </c>
      <c r="C17" s="78">
        <v>8</v>
      </c>
      <c r="D17" s="96" t="s">
        <v>68</v>
      </c>
      <c r="E17" s="96" t="s">
        <v>68</v>
      </c>
      <c r="F17" s="91">
        <f t="shared" si="2"/>
        <v>8900.735999999999</v>
      </c>
      <c r="G17" s="96" t="s">
        <v>68</v>
      </c>
      <c r="H17" s="86">
        <f t="shared" si="3"/>
        <v>2688.0222719999997</v>
      </c>
      <c r="I17" s="86">
        <f t="shared" si="4"/>
        <v>11588.758271999999</v>
      </c>
      <c r="J17" s="86">
        <v>3575.35</v>
      </c>
      <c r="K17" s="85">
        <f t="shared" si="0"/>
        <v>8013.4082719999988</v>
      </c>
      <c r="L17" s="97">
        <f t="shared" si="1"/>
        <v>8.20870699720186</v>
      </c>
      <c r="M17" s="80" t="s">
        <v>68</v>
      </c>
      <c r="N17" s="93">
        <f t="shared" si="5"/>
        <v>4006.7027201622168</v>
      </c>
      <c r="O17" s="104"/>
      <c r="P17" s="88"/>
      <c r="Q17" s="100"/>
    </row>
    <row r="18" spans="1:17" ht="15.75" x14ac:dyDescent="0.25">
      <c r="A18" s="132" t="s">
        <v>59</v>
      </c>
      <c r="B18" s="133"/>
      <c r="C18" s="85">
        <f>SUM(C6:C17)</f>
        <v>106.5</v>
      </c>
      <c r="D18" s="96">
        <v>92.715999999999994</v>
      </c>
      <c r="E18" s="95">
        <v>12</v>
      </c>
      <c r="F18" s="91">
        <f>SUM(F6:F17)</f>
        <v>118491.04800000001</v>
      </c>
      <c r="G18" s="94">
        <v>0.30199999999999999</v>
      </c>
      <c r="H18" s="86">
        <f>SUM(H6:H17)</f>
        <v>35784.296496000003</v>
      </c>
      <c r="I18" s="86">
        <f>SUM(I6:I17)</f>
        <v>154275.34449599998</v>
      </c>
      <c r="J18" s="86">
        <f>SUM(J6:J17)</f>
        <v>56654.510000000009</v>
      </c>
      <c r="K18" s="85">
        <f t="shared" ref="K18" si="7">SUM(K6:K17)</f>
        <v>97620.834495999981</v>
      </c>
      <c r="L18" s="97">
        <f>SUM(L6:L17)</f>
        <v>100</v>
      </c>
      <c r="M18" s="85">
        <v>48810.400000000001</v>
      </c>
      <c r="N18" s="85">
        <f t="shared" ref="N18" si="8">SUM(N6:N17)</f>
        <v>48810.400000000001</v>
      </c>
      <c r="O18" s="105"/>
      <c r="P18" s="88"/>
      <c r="Q18" s="100"/>
    </row>
    <row r="19" spans="1:17" x14ac:dyDescent="0.25">
      <c r="L19" s="87"/>
      <c r="M19" s="87"/>
      <c r="N19" s="88"/>
      <c r="O19" s="88"/>
    </row>
    <row r="20" spans="1:17" x14ac:dyDescent="0.25">
      <c r="A20" s="135"/>
      <c r="B20" s="135"/>
      <c r="C20" s="135"/>
      <c r="D20" s="135"/>
      <c r="E20" s="135"/>
      <c r="F20" s="135"/>
      <c r="G20" s="135"/>
      <c r="H20" s="135"/>
      <c r="I20" s="135"/>
      <c r="J20" s="135"/>
      <c r="K20" s="135"/>
    </row>
    <row r="21" spans="1:17" x14ac:dyDescent="0.25">
      <c r="A21" s="92"/>
      <c r="B21" s="92"/>
      <c r="C21" s="92"/>
      <c r="D21" s="92"/>
      <c r="E21" s="92"/>
      <c r="F21" s="92"/>
      <c r="G21" s="92"/>
      <c r="H21" s="92"/>
      <c r="I21" s="92"/>
      <c r="J21" s="92"/>
      <c r="K21" s="92"/>
    </row>
    <row r="22" spans="1:17" ht="18.75" x14ac:dyDescent="0.3">
      <c r="A22" s="89" t="s">
        <v>86</v>
      </c>
      <c r="B22" s="89"/>
      <c r="C22" s="89"/>
      <c r="D22" s="89"/>
      <c r="E22" s="89"/>
      <c r="F22" s="89"/>
      <c r="G22" s="89"/>
      <c r="H22" s="89"/>
      <c r="I22" s="89"/>
      <c r="J22" s="89"/>
      <c r="K22" s="89" t="s">
        <v>81</v>
      </c>
      <c r="L22" s="107" t="s">
        <v>85</v>
      </c>
      <c r="M22" s="90"/>
    </row>
    <row r="23" spans="1:17" ht="18.75" x14ac:dyDescent="0.3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109" t="s">
        <v>78</v>
      </c>
      <c r="L23" s="108"/>
    </row>
    <row r="24" spans="1:17" ht="18.75" x14ac:dyDescent="0.3">
      <c r="A24" s="89"/>
      <c r="B24" s="106" t="s">
        <v>80</v>
      </c>
      <c r="C24" s="89"/>
      <c r="D24" s="89"/>
      <c r="E24" s="89"/>
      <c r="F24" s="89"/>
      <c r="G24" s="89"/>
      <c r="H24" s="89"/>
      <c r="I24" s="89"/>
      <c r="J24" s="89"/>
      <c r="K24" s="89"/>
      <c r="L24" s="89"/>
    </row>
    <row r="25" spans="1:17" ht="18.75" x14ac:dyDescent="0.3">
      <c r="A25" s="89"/>
      <c r="B25" s="99" t="s">
        <v>79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</row>
    <row r="26" spans="1:17" x14ac:dyDescent="0.25">
      <c r="A26" s="79"/>
      <c r="B26" s="79"/>
      <c r="C26" s="79"/>
    </row>
  </sheetData>
  <mergeCells count="3">
    <mergeCell ref="A18:B18"/>
    <mergeCell ref="A2:N2"/>
    <mergeCell ref="A20:K20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2019год</vt:lpstr>
      <vt:lpstr>Лист2</vt:lpstr>
      <vt:lpstr>Лист3</vt:lpstr>
      <vt:lpstr>расчет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2024-11-14T05:19:49Z</dcterms:modified>
</cp:coreProperties>
</file>