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6510" windowHeight="9060" activeTab="1"/>
  </bookViews>
  <sheets>
    <sheet name="2021" sheetId="1" r:id="rId1"/>
    <sheet name="2022" sheetId="2" r:id="rId2"/>
    <sheet name="2023" sheetId="3" r:id="rId3"/>
    <sheet name="НПn2021" sheetId="4" r:id="rId4"/>
    <sheet name="НПn2022" sheetId="5" r:id="rId5"/>
    <sheet name="НПn2023" sheetId="6" r:id="rId6"/>
    <sheet name="ПНД" sheetId="7" r:id="rId7"/>
    <sheet name="q1q2" sheetId="8" r:id="rId8"/>
    <sheet name="а1 а2 а3" sheetId="9" r:id="rId9"/>
  </sheets>
  <definedNames/>
  <calcPr fullCalcOnLoad="1"/>
</workbook>
</file>

<file path=xl/sharedStrings.xml><?xml version="1.0" encoding="utf-8"?>
<sst xmlns="http://schemas.openxmlformats.org/spreadsheetml/2006/main" count="472" uniqueCount="162">
  <si>
    <t>Сельские поселения</t>
  </si>
  <si>
    <t>Горноправдинск</t>
  </si>
  <si>
    <t>Селиярово</t>
  </si>
  <si>
    <t>Шапша</t>
  </si>
  <si>
    <t>Цингалы</t>
  </si>
  <si>
    <t>Нялино</t>
  </si>
  <si>
    <t>Сибирский</t>
  </si>
  <si>
    <t>Красноленинский</t>
  </si>
  <si>
    <t>Выкатное</t>
  </si>
  <si>
    <t>Кедровый</t>
  </si>
  <si>
    <t>Кышик</t>
  </si>
  <si>
    <t>Согом</t>
  </si>
  <si>
    <t>ИТОГО по району</t>
  </si>
  <si>
    <t>НПn</t>
  </si>
  <si>
    <t>Луговской</t>
  </si>
  <si>
    <r>
      <t xml:space="preserve">Численность населения, проживающего в населенных пунктах с числ.населения не более 500 чел.      </t>
    </r>
    <r>
      <rPr>
        <b/>
        <sz val="10"/>
        <rFont val="Times New Roman"/>
        <family val="1"/>
      </rPr>
      <t>Hn500 (H500</t>
    </r>
    <r>
      <rPr>
        <sz val="10"/>
        <rFont val="Times New Roman"/>
        <family val="1"/>
      </rPr>
      <t>)</t>
    </r>
  </si>
  <si>
    <r>
      <t xml:space="preserve">Коэф-т дисперсности </t>
    </r>
    <r>
      <rPr>
        <b/>
        <sz val="10"/>
        <rFont val="Times New Roman"/>
        <family val="1"/>
      </rPr>
      <t>Kn дисп</t>
    </r>
  </si>
  <si>
    <r>
      <t xml:space="preserve">Коэффициент дифференциации расходов на содержание жилого фонда в поселении      </t>
    </r>
    <r>
      <rPr>
        <b/>
        <sz val="10"/>
        <rFont val="Times New Roman"/>
        <family val="1"/>
      </rPr>
      <t>Kn жф</t>
    </r>
  </si>
  <si>
    <r>
      <t xml:space="preserve">Средняя  численность  постоянного  населения  поселений, входящих  в состав территории муниципального района     </t>
    </r>
    <r>
      <rPr>
        <b/>
        <sz val="10"/>
        <rFont val="Times New Roman"/>
        <family val="1"/>
      </rPr>
      <t>Нср</t>
    </r>
  </si>
  <si>
    <r>
      <t xml:space="preserve">Весовой коэффициент, устанавливае-мый уполномочен-ным органом местного самоуправления                                   </t>
    </r>
    <r>
      <rPr>
        <b/>
        <sz val="10"/>
        <rFont val="Times New Roman"/>
        <family val="1"/>
      </rPr>
      <t>С</t>
    </r>
  </si>
  <si>
    <r>
      <t xml:space="preserve">Коэф-т масштаба поселения      </t>
    </r>
    <r>
      <rPr>
        <b/>
        <sz val="10"/>
        <rFont val="Times New Roman"/>
        <family val="1"/>
      </rPr>
      <t>Кnм</t>
    </r>
  </si>
  <si>
    <r>
      <t xml:space="preserve">Доля расходов  на муниципальное управление и организацию оказания услуг в области культуры           </t>
    </r>
    <r>
      <rPr>
        <b/>
        <sz val="10"/>
        <rFont val="Times New Roman"/>
        <family val="1"/>
      </rPr>
      <t>a1</t>
    </r>
  </si>
  <si>
    <r>
      <t xml:space="preserve">Доля расходов на содержание муниципального жилого фонда   </t>
    </r>
    <r>
      <rPr>
        <b/>
        <sz val="10"/>
        <rFont val="Times New Roman"/>
        <family val="1"/>
      </rPr>
      <t>a2</t>
    </r>
  </si>
  <si>
    <r>
      <t xml:space="preserve">Доля других видов расходов  </t>
    </r>
    <r>
      <rPr>
        <b/>
        <sz val="10"/>
        <rFont val="Times New Roman"/>
        <family val="1"/>
      </rPr>
      <t>a3</t>
    </r>
  </si>
  <si>
    <r>
      <t xml:space="preserve">Экономически обоснованные тарифы  на водоснабжение и водоотведение                              </t>
    </r>
    <r>
      <rPr>
        <b/>
        <sz val="10"/>
        <rFont val="Times New Roman"/>
        <family val="1"/>
      </rPr>
      <t>Тn вод (Твод)</t>
    </r>
  </si>
  <si>
    <r>
      <t xml:space="preserve">Экономически обоснованные тарифы на электроэнергию   </t>
    </r>
    <r>
      <rPr>
        <b/>
        <sz val="10"/>
        <rFont val="Times New Roman"/>
        <family val="1"/>
      </rPr>
      <t>Тn эл (Тэл)</t>
    </r>
  </si>
  <si>
    <r>
      <t xml:space="preserve">Экономически обоснованные тарифы на теплоснабжение          </t>
    </r>
    <r>
      <rPr>
        <b/>
        <sz val="10"/>
        <rFont val="Times New Roman"/>
        <family val="1"/>
      </rPr>
      <t>Тn тепл (Ттепл)</t>
    </r>
  </si>
  <si>
    <r>
      <t xml:space="preserve">Коэф-т стоимости предоставления коммунальных услуг              </t>
    </r>
    <r>
      <rPr>
        <b/>
        <sz val="10"/>
        <rFont val="Times New Roman"/>
        <family val="1"/>
      </rPr>
      <t>Kn ку</t>
    </r>
  </si>
  <si>
    <r>
      <t xml:space="preserve">Удельный вес сельского населения поселения  </t>
    </r>
    <r>
      <rPr>
        <b/>
        <sz val="10"/>
        <rFont val="Times New Roman"/>
        <family val="1"/>
      </rPr>
      <t>УВСНn (УВСН)</t>
    </r>
  </si>
  <si>
    <r>
      <t xml:space="preserve">Коэффициент заработной платы в поселении        </t>
    </r>
    <r>
      <rPr>
        <b/>
        <sz val="10"/>
        <rFont val="Times New Roman"/>
        <family val="1"/>
      </rPr>
      <t>Kn  зп</t>
    </r>
  </si>
  <si>
    <r>
      <t xml:space="preserve">Расчетный удельный вес расходов на оплату труда и начисления на выплаты по оплате труда в среднем по бюджетам всех поселений     </t>
    </r>
    <r>
      <rPr>
        <b/>
        <sz val="10"/>
        <rFont val="Times New Roman"/>
        <family val="1"/>
      </rPr>
      <t>q1</t>
    </r>
  </si>
  <si>
    <r>
      <t xml:space="preserve">Расчетный удельный вес расходов на коммунальные услуги в среднем по бюджетам всех поселений          </t>
    </r>
    <r>
      <rPr>
        <b/>
        <sz val="10"/>
        <rFont val="Times New Roman"/>
        <family val="1"/>
      </rPr>
      <t>q2</t>
    </r>
  </si>
  <si>
    <r>
      <t xml:space="preserve">Коэффициент стоимости предоставления муниципальных услуг в поселении           </t>
    </r>
    <r>
      <rPr>
        <b/>
        <sz val="10"/>
        <rFont val="Times New Roman"/>
        <family val="1"/>
      </rPr>
      <t>Kn стоим</t>
    </r>
  </si>
  <si>
    <r>
      <t xml:space="preserve">Коэффициент структуры потребителей муниципальных услуг поселения     </t>
    </r>
    <r>
      <rPr>
        <b/>
        <sz val="10"/>
        <rFont val="Times New Roman"/>
        <family val="1"/>
      </rPr>
      <t>Kn стр</t>
    </r>
  </si>
  <si>
    <t>(Кn стоим*Kn стр*Hn)</t>
  </si>
  <si>
    <t>ПДj           НДФЛ</t>
  </si>
  <si>
    <t>НОРМj                  НДФЛ</t>
  </si>
  <si>
    <t>БНnj                    НДФЛ</t>
  </si>
  <si>
    <t>НПnj                         НДФЛ</t>
  </si>
  <si>
    <t>НОРМj                  Налог на имущество физических лиц</t>
  </si>
  <si>
    <t>БНnj                    Налог на имущество физических лиц</t>
  </si>
  <si>
    <t>НПnj                         Налог на имущество физических лиц</t>
  </si>
  <si>
    <t>ПДj                       Налог на имущество физических лиц</t>
  </si>
  <si>
    <t>ПДj                       Земельный налог</t>
  </si>
  <si>
    <t>НОРМj                  Земельный налог</t>
  </si>
  <si>
    <t>БНnj                    Земельный налог</t>
  </si>
  <si>
    <t>НПnj                         Земельный налог</t>
  </si>
  <si>
    <r>
      <t xml:space="preserve">Налоговый потенциал поселения     </t>
    </r>
    <r>
      <rPr>
        <b/>
        <sz val="10"/>
        <rFont val="Times New Roman"/>
        <family val="1"/>
      </rPr>
      <t>НПn (НП)</t>
    </r>
  </si>
  <si>
    <r>
      <rPr>
        <sz val="10"/>
        <rFont val="Times New Roman"/>
        <family val="1"/>
      </rPr>
      <t xml:space="preserve">Индекс налогового потенциала поселения </t>
    </r>
    <r>
      <rPr>
        <b/>
        <sz val="10"/>
        <rFont val="Times New Roman"/>
        <family val="1"/>
      </rPr>
      <t xml:space="preserve"> ИНПn</t>
    </r>
  </si>
  <si>
    <r>
      <rPr>
        <sz val="10"/>
        <rFont val="Times New Roman"/>
        <family val="1"/>
      </rPr>
      <t xml:space="preserve">Индекс бюджетных расходов поселения  </t>
    </r>
    <r>
      <rPr>
        <b/>
        <sz val="10"/>
        <rFont val="Times New Roman"/>
        <family val="1"/>
      </rPr>
      <t>ИБРn</t>
    </r>
  </si>
  <si>
    <r>
      <t xml:space="preserve">Уровень расчетной бюджетной обеспеченности поселения </t>
    </r>
    <r>
      <rPr>
        <b/>
        <sz val="10"/>
        <rFont val="Times New Roman"/>
        <family val="1"/>
      </rPr>
      <t>БОn</t>
    </r>
  </si>
  <si>
    <r>
      <t xml:space="preserve">Уровень расчетной бюджетной обеспеченности, установленный в качестве критерия выравнивания расчетной бюджетной обеспеченности поселений                </t>
    </r>
    <r>
      <rPr>
        <b/>
        <sz val="10"/>
        <rFont val="Times New Roman"/>
        <family val="1"/>
      </rPr>
      <t>БО кр</t>
    </r>
  </si>
  <si>
    <r>
      <t xml:space="preserve">Объём средств, необходимых для доведения уровня расчетной бюджетной обеспеченности поселения до уровня, установленного в качестве критерия выравнивания расчетной бюджетной обеспеченности поселений                    </t>
    </r>
    <r>
      <rPr>
        <b/>
        <sz val="10"/>
        <rFont val="Times New Roman"/>
        <family val="1"/>
      </rPr>
      <t>Tn</t>
    </r>
  </si>
  <si>
    <r>
      <t xml:space="preserve">Размер дотации на выравнивание бюджетной обеспеченности поселению                             </t>
    </r>
    <r>
      <rPr>
        <b/>
        <sz val="10"/>
        <rFont val="Times New Roman"/>
        <family val="1"/>
      </rPr>
      <t>Дn</t>
    </r>
  </si>
  <si>
    <r>
      <t xml:space="preserve">Площадь жилого фонда поселения </t>
    </r>
    <r>
      <rPr>
        <b/>
        <sz val="10"/>
        <rFont val="Times New Roman"/>
        <family val="1"/>
      </rPr>
      <t>Пnжф (Пжф)</t>
    </r>
  </si>
  <si>
    <t>Налог на доходы физических лиц (по нормативу 10%)</t>
  </si>
  <si>
    <t>Налог на имущество физических лиц</t>
  </si>
  <si>
    <t>Земельный налог</t>
  </si>
  <si>
    <t>Сельское поселение Горноправдинск</t>
  </si>
  <si>
    <t>Сельское поселение Селиярово</t>
  </si>
  <si>
    <t>Сельское поселение Шапша</t>
  </si>
  <si>
    <t xml:space="preserve">Сельское поселение Кышик </t>
  </si>
  <si>
    <t>Сельское поселение Нялинское</t>
  </si>
  <si>
    <t>Сельское поселение Красноленинский</t>
  </si>
  <si>
    <t>Сельское поселение Кедровый</t>
  </si>
  <si>
    <t>Сельское поселение Луговской</t>
  </si>
  <si>
    <t>Сельское поселение Цингалы</t>
  </si>
  <si>
    <t>Сельское поселение Сибирский</t>
  </si>
  <si>
    <t>Сельское поселение Выкатной</t>
  </si>
  <si>
    <t>Сельское поселение Согом</t>
  </si>
  <si>
    <t>ИТОГО</t>
  </si>
  <si>
    <t>ИТОГО по  налогам</t>
  </si>
  <si>
    <t>тыс. руб.</t>
  </si>
  <si>
    <t>Наименование</t>
  </si>
  <si>
    <t>Статья</t>
  </si>
  <si>
    <t>Выкатной</t>
  </si>
  <si>
    <t>Нялинское</t>
  </si>
  <si>
    <t>Итого</t>
  </si>
  <si>
    <t>211</t>
  </si>
  <si>
    <t>212</t>
  </si>
  <si>
    <t>213</t>
  </si>
  <si>
    <t>221</t>
  </si>
  <si>
    <t>222</t>
  </si>
  <si>
    <t>223</t>
  </si>
  <si>
    <t>224</t>
  </si>
  <si>
    <t>225</t>
  </si>
  <si>
    <t>226</t>
  </si>
  <si>
    <t>241</t>
  </si>
  <si>
    <t>251</t>
  </si>
  <si>
    <t>290</t>
  </si>
  <si>
    <t>310</t>
  </si>
  <si>
    <t>340</t>
  </si>
  <si>
    <t>ВСЕГО</t>
  </si>
  <si>
    <t>211+213</t>
  </si>
  <si>
    <t>q1</t>
  </si>
  <si>
    <t>q2</t>
  </si>
  <si>
    <t>РАЗДЕЛ</t>
  </si>
  <si>
    <t>0100</t>
  </si>
  <si>
    <t>0300</t>
  </si>
  <si>
    <t>0400</t>
  </si>
  <si>
    <t>0500</t>
  </si>
  <si>
    <t>0600</t>
  </si>
  <si>
    <t>0700</t>
  </si>
  <si>
    <t>0800</t>
  </si>
  <si>
    <t>1000</t>
  </si>
  <si>
    <t>1100</t>
  </si>
  <si>
    <t>0100+0800</t>
  </si>
  <si>
    <t>а1</t>
  </si>
  <si>
    <t>а2</t>
  </si>
  <si>
    <t>Фактическое исполнение расходов на муниципальное управление и организацию оказания услуг в области культуры</t>
  </si>
  <si>
    <t>Фактическое исполнение расходов на содержание муниципального жилого фонда</t>
  </si>
  <si>
    <t>Фактическое исполнение других видов расходов</t>
  </si>
  <si>
    <t>а3</t>
  </si>
  <si>
    <t>РАЗДЕЛ 0501</t>
  </si>
  <si>
    <t>справочно</t>
  </si>
  <si>
    <t>в том числе</t>
  </si>
  <si>
    <t>0200</t>
  </si>
  <si>
    <t>(Тn вод * Нn)</t>
  </si>
  <si>
    <t>(Тn тепл * Hn)</t>
  </si>
  <si>
    <t>(Тn эл * Hn)</t>
  </si>
  <si>
    <t>11.0.00.99990</t>
  </si>
  <si>
    <t>22.0.00.99990</t>
  </si>
  <si>
    <t>34.0.00.99990</t>
  </si>
  <si>
    <t>35.0.01.20808</t>
  </si>
  <si>
    <t>70.0.00.20600</t>
  </si>
  <si>
    <t>70.0.00.20817</t>
  </si>
  <si>
    <t>70.0.00.99990</t>
  </si>
  <si>
    <t>Расчет распределения дотации на 2021 год</t>
  </si>
  <si>
    <t>Расчет налогового потенциала поселений на 2021 год</t>
  </si>
  <si>
    <t>на 2021 год</t>
  </si>
  <si>
    <t>70.0.00.20602</t>
  </si>
  <si>
    <t>70.0.00.20806</t>
  </si>
  <si>
    <r>
      <t xml:space="preserve">Численность постоянного населения  на 01.01.2019 г.                                      </t>
    </r>
    <r>
      <rPr>
        <b/>
        <sz val="10"/>
        <rFont val="Times New Roman"/>
        <family val="1"/>
      </rPr>
      <t>Hn (H)</t>
    </r>
  </si>
  <si>
    <r>
      <t xml:space="preserve">Численность сельского населения на 01.01.2019 г.               </t>
    </r>
    <r>
      <rPr>
        <b/>
        <sz val="10"/>
        <rFont val="Times New Roman"/>
        <family val="1"/>
      </rPr>
      <t>Hn (H)</t>
    </r>
  </si>
  <si>
    <t>Расчет распределения дотации на 2022 год</t>
  </si>
  <si>
    <t>Расчет налогового потенциала поселений на 2022 год</t>
  </si>
  <si>
    <t>на 2022 год</t>
  </si>
  <si>
    <t>Заместитель главы района по финансам, председатель комитета по финансам                                      Р.И.Стадлер</t>
  </si>
  <si>
    <t>Заместитель главы района по финансам, председатель комитета по финансам                                  Р.И.Стадлер</t>
  </si>
  <si>
    <r>
      <t xml:space="preserve">Уровень расчетной бюджетной обеспеченности муниципальных образований после распределения выравнивающих дотаций </t>
    </r>
    <r>
      <rPr>
        <b/>
        <sz val="10"/>
        <rFont val="Times New Roman"/>
        <family val="1"/>
      </rPr>
      <t>БОДn</t>
    </r>
  </si>
  <si>
    <r>
      <t xml:space="preserve">Объем субвенции бюджету муниципального района из бюджета автономного округа на исполнение переданных отдельных государственных полномочий,                  </t>
    </r>
    <r>
      <rPr>
        <b/>
        <sz val="10"/>
        <rFont val="Times New Roman"/>
        <family val="1"/>
      </rPr>
      <t>СМРч</t>
    </r>
    <r>
      <rPr>
        <sz val="10"/>
        <rFont val="Times New Roman"/>
        <family val="1"/>
      </rPr>
      <t xml:space="preserve">
</t>
    </r>
  </si>
  <si>
    <r>
      <t xml:space="preserve">Объем первой части дотации на выравнивание бюджетной обеспеченности поселений n-му сельскому поселению
</t>
    </r>
    <r>
      <rPr>
        <b/>
        <sz val="10"/>
        <rFont val="Times New Roman"/>
        <family val="1"/>
      </rPr>
      <t>Д1n</t>
    </r>
  </si>
  <si>
    <r>
      <rPr>
        <sz val="10"/>
        <rFont val="Times New Roman"/>
        <family val="1"/>
      </rPr>
      <t xml:space="preserve">Объем второй части дотации на выравнивание бюджетной обеспеченности поселений n-му сельскому поселению
                              </t>
    </r>
    <r>
      <rPr>
        <b/>
        <sz val="10"/>
        <rFont val="Times New Roman"/>
        <family val="1"/>
      </rPr>
      <t>Д2n</t>
    </r>
  </si>
  <si>
    <r>
      <t xml:space="preserve">Объем дотации на выравнивание бюджетной обеспеченности поселений, сформированный за счет собственных средств бюджета муниципального района, включая субсидию на выравнивание бюджетной обеспеченности поселений, входящих в состав муниципального района
</t>
    </r>
    <r>
      <rPr>
        <b/>
        <sz val="10"/>
        <rFont val="Times New Roman"/>
        <family val="1"/>
      </rPr>
      <t xml:space="preserve">Д2 </t>
    </r>
  </si>
  <si>
    <r>
      <rPr>
        <sz val="10"/>
        <rFont val="Times New Roman"/>
        <family val="1"/>
      </rPr>
      <t xml:space="preserve">Прогноз налоговых доходов бюджетов поселений, входящих в состав муниципального района
 </t>
    </r>
    <r>
      <rPr>
        <b/>
        <sz val="10"/>
        <rFont val="Times New Roman"/>
        <family val="1"/>
      </rPr>
      <t>ПНД</t>
    </r>
  </si>
  <si>
    <r>
      <t xml:space="preserve">Объем субсидии бюджету муниципального района из бюджета автономного округа на выравнивание бюджетной обеспеченности поселений, входящих в состав муниципального района, включая средства бюджета муниципального района, направленные на обеспечение уровня софинансирования расходных обязательств местного бюджета                </t>
    </r>
    <r>
      <rPr>
        <b/>
        <sz val="10"/>
        <rFont val="Times New Roman"/>
        <family val="1"/>
      </rPr>
      <t>С</t>
    </r>
  </si>
  <si>
    <t>Расчет налогового потенциала поселений на 2023 год</t>
  </si>
  <si>
    <t>Прогноз налоговых доходов бюджетов поселений (ПНД) на 2021-2023 годы</t>
  </si>
  <si>
    <t>на 2023 год</t>
  </si>
  <si>
    <t>Расчет распределения дотации на 2023 год</t>
  </si>
  <si>
    <t>214</t>
  </si>
  <si>
    <t>227</t>
  </si>
  <si>
    <t>245</t>
  </si>
  <si>
    <t>246</t>
  </si>
  <si>
    <t>24А</t>
  </si>
  <si>
    <t>264</t>
  </si>
  <si>
    <t>266</t>
  </si>
  <si>
    <t>267</t>
  </si>
  <si>
    <t/>
  </si>
  <si>
    <t>11.1.02.99990</t>
  </si>
  <si>
    <t xml:space="preserve">Фактическое исполнению бюджета по сельским поселениям района за 2019 год по разделам бюджетной классификации </t>
  </si>
  <si>
    <t>Фактическое исполнение бюджета по сельским поселения района за 2019 год по экономическим статьям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</si>
</sst>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_-* #,##0_р_._-;\-* #,##0_р_._-;_-* &quot;-&quot;??_р_._-;_-@_-"/>
    <numFmt numFmtId="175" formatCode="_-* #,##0.0_р_._-;\-* #,##0.0_р_._-;_-* &quot;-&quot;?_р_._-;_-@_-"/>
    <numFmt numFmtId="176" formatCode="_-* #,##0.000_р_._-;\-* #,##0.000_р_._-;_-* &quot;-&quot;???_р_._-;_-@_-"/>
    <numFmt numFmtId="177" formatCode="0.0%"/>
    <numFmt numFmtId="178" formatCode="#,##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0.000000000"/>
    <numFmt numFmtId="185" formatCode="#,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_ ;[Red]\-#,##0.0\ "/>
    <numFmt numFmtId="191" formatCode="#,##0.00_ ;[Red]\-#,##0.00\ "/>
    <numFmt numFmtId="192" formatCode="0.000000000000000"/>
    <numFmt numFmtId="193" formatCode="0.0000000000000000000"/>
    <numFmt numFmtId="194" formatCode="#,##0.00;[Red]\-#,##0.00;0.00"/>
    <numFmt numFmtId="195" formatCode="\&gt;\A\A.\A\A"/>
    <numFmt numFmtId="196" formatCode="\&gt;\A\A\A"/>
    <numFmt numFmtId="197" formatCode="_-* #,##0.0_р_._-;\-* #,##0.0_р_._-;_-* &quot;-&quot;??_р_._-;_-@_-"/>
    <numFmt numFmtId="198" formatCode="#,##0.00000"/>
    <numFmt numFmtId="199" formatCode="_-* #,##0.0\ _₽_-;\-* #,##0.0\ _₽_-;_-* &quot;-&quot;?\ _₽_-;_-@_-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14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4"/>
      <color indexed="56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rgb="FF00206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7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172" fontId="71" fillId="0" borderId="0" xfId="0" applyNumberFormat="1" applyFont="1" applyAlignment="1">
      <alignment vertical="center" wrapText="1"/>
    </xf>
    <xf numFmtId="0" fontId="71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72" fillId="0" borderId="0" xfId="0" applyFont="1" applyAlignment="1">
      <alignment vertical="center" wrapText="1"/>
    </xf>
    <xf numFmtId="0" fontId="73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75" fillId="0" borderId="0" xfId="0" applyNumberFormat="1" applyFont="1" applyAlignment="1">
      <alignment vertical="center" wrapText="1"/>
    </xf>
    <xf numFmtId="2" fontId="76" fillId="0" borderId="0" xfId="0" applyNumberFormat="1" applyFont="1" applyAlignment="1">
      <alignment horizontal="center" vertical="center" wrapText="1"/>
    </xf>
    <xf numFmtId="2" fontId="77" fillId="0" borderId="0" xfId="0" applyNumberFormat="1" applyFont="1" applyAlignment="1">
      <alignment vertical="center" wrapText="1"/>
    </xf>
    <xf numFmtId="2" fontId="78" fillId="0" borderId="0" xfId="0" applyNumberFormat="1" applyFont="1" applyAlignment="1">
      <alignment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7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172" fontId="6" fillId="34" borderId="1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>
      <alignment vertical="center" wrapText="1"/>
    </xf>
    <xf numFmtId="173" fontId="4" fillId="0" borderId="10" xfId="66" applyNumberFormat="1" applyFont="1" applyFill="1" applyBorder="1" applyAlignment="1">
      <alignment vertical="center" wrapText="1"/>
    </xf>
    <xf numFmtId="173" fontId="5" fillId="0" borderId="10" xfId="66" applyNumberFormat="1" applyFont="1" applyFill="1" applyBorder="1" applyAlignment="1">
      <alignment vertical="center" wrapText="1"/>
    </xf>
    <xf numFmtId="173" fontId="5" fillId="33" borderId="10" xfId="66" applyNumberFormat="1" applyFont="1" applyFill="1" applyBorder="1" applyAlignment="1">
      <alignment vertical="center" wrapText="1"/>
    </xf>
    <xf numFmtId="173" fontId="79" fillId="33" borderId="10" xfId="66" applyNumberFormat="1" applyFont="1" applyFill="1" applyBorder="1" applyAlignment="1">
      <alignment vertical="center" wrapText="1"/>
    </xf>
    <xf numFmtId="2" fontId="75" fillId="0" borderId="0" xfId="0" applyNumberFormat="1" applyFont="1" applyFill="1" applyAlignment="1">
      <alignment vertical="center" wrapText="1"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 vertical="center"/>
    </xf>
    <xf numFmtId="49" fontId="61" fillId="0" borderId="10" xfId="0" applyNumberFormat="1" applyFont="1" applyBorder="1" applyAlignment="1">
      <alignment horizontal="center"/>
    </xf>
    <xf numFmtId="49" fontId="6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61" fillId="34" borderId="0" xfId="0" applyNumberFormat="1" applyFont="1" applyFill="1" applyAlignment="1">
      <alignment/>
    </xf>
    <xf numFmtId="0" fontId="61" fillId="34" borderId="0" xfId="0" applyFont="1" applyFill="1" applyAlignment="1">
      <alignment horizontal="center"/>
    </xf>
    <xf numFmtId="1" fontId="0" fillId="0" borderId="0" xfId="0" applyNumberFormat="1" applyAlignment="1">
      <alignment/>
    </xf>
    <xf numFmtId="2" fontId="61" fillId="34" borderId="0" xfId="0" applyNumberFormat="1" applyFont="1" applyFill="1" applyBorder="1" applyAlignment="1">
      <alignment/>
    </xf>
    <xf numFmtId="2" fontId="61" fillId="34" borderId="0" xfId="0" applyNumberFormat="1" applyFont="1" applyFill="1" applyBorder="1" applyAlignment="1">
      <alignment horizontal="right" vertical="center"/>
    </xf>
    <xf numFmtId="185" fontId="0" fillId="0" borderId="0" xfId="0" applyNumberFormat="1" applyAlignment="1">
      <alignment/>
    </xf>
    <xf numFmtId="0" fontId="7" fillId="0" borderId="0" xfId="33" applyFont="1" applyFill="1" applyAlignment="1" applyProtection="1">
      <alignment vertical="center" wrapText="1"/>
      <protection/>
    </xf>
    <xf numFmtId="0" fontId="80" fillId="0" borderId="0" xfId="0" applyFont="1" applyFill="1" applyAlignment="1" applyProtection="1">
      <alignment vertical="center" wrapText="1"/>
      <protection/>
    </xf>
    <xf numFmtId="0" fontId="7" fillId="0" borderId="0" xfId="33" applyFont="1" applyFill="1" applyAlignment="1" applyProtection="1">
      <alignment horizontal="center" vertical="center" wrapText="1"/>
      <protection/>
    </xf>
    <xf numFmtId="0" fontId="11" fillId="33" borderId="10" xfId="57" applyFont="1" applyFill="1" applyBorder="1" applyAlignment="1" applyProtection="1">
      <alignment horizontal="center" vertical="center" wrapText="1"/>
      <protection/>
    </xf>
    <xf numFmtId="0" fontId="11" fillId="35" borderId="10" xfId="57" applyFont="1" applyFill="1" applyBorder="1" applyAlignment="1" applyProtection="1">
      <alignment horizontal="center" vertical="center" wrapText="1"/>
      <protection/>
    </xf>
    <xf numFmtId="0" fontId="11" fillId="36" borderId="10" xfId="57" applyFont="1" applyFill="1" applyBorder="1" applyAlignment="1" applyProtection="1">
      <alignment horizontal="center" vertical="center" wrapText="1"/>
      <protection/>
    </xf>
    <xf numFmtId="185" fontId="9" fillId="33" borderId="10" xfId="33" applyNumberFormat="1" applyFont="1" applyFill="1" applyBorder="1" applyAlignment="1" applyProtection="1">
      <alignment horizontal="center" vertical="center" wrapText="1"/>
      <protection/>
    </xf>
    <xf numFmtId="185" fontId="9" fillId="35" borderId="10" xfId="33" applyNumberFormat="1" applyFont="1" applyFill="1" applyBorder="1" applyAlignment="1" applyProtection="1">
      <alignment horizontal="center" vertical="center" wrapText="1"/>
      <protection/>
    </xf>
    <xf numFmtId="185" fontId="9" fillId="36" borderId="10" xfId="33" applyNumberFormat="1" applyFont="1" applyFill="1" applyBorder="1" applyAlignment="1" applyProtection="1">
      <alignment horizontal="center" vertical="center" wrapText="1"/>
      <protection/>
    </xf>
    <xf numFmtId="0" fontId="9" fillId="0" borderId="10" xfId="33" applyFont="1" applyFill="1" applyBorder="1" applyAlignment="1" applyProtection="1">
      <alignment vertical="center" wrapText="1"/>
      <protection/>
    </xf>
    <xf numFmtId="185" fontId="9" fillId="33" borderId="10" xfId="33" applyNumberFormat="1" applyFont="1" applyFill="1" applyBorder="1" applyAlignment="1" applyProtection="1">
      <alignment vertical="center" wrapText="1"/>
      <protection/>
    </xf>
    <xf numFmtId="185" fontId="9" fillId="35" borderId="10" xfId="33" applyNumberFormat="1" applyFont="1" applyFill="1" applyBorder="1" applyAlignment="1" applyProtection="1">
      <alignment vertical="center" wrapText="1"/>
      <protection/>
    </xf>
    <xf numFmtId="185" fontId="9" fillId="36" borderId="10" xfId="33" applyNumberFormat="1" applyFont="1" applyFill="1" applyBorder="1" applyAlignment="1" applyProtection="1">
      <alignment vertical="center" wrapText="1"/>
      <protection/>
    </xf>
    <xf numFmtId="0" fontId="9" fillId="0" borderId="0" xfId="33" applyFont="1" applyFill="1" applyAlignment="1" applyProtection="1">
      <alignment vertical="center" wrapText="1"/>
      <protection/>
    </xf>
    <xf numFmtId="185" fontId="12" fillId="0" borderId="0" xfId="0" applyNumberFormat="1" applyFont="1" applyFill="1" applyAlignment="1">
      <alignment vertical="center" wrapText="1"/>
    </xf>
    <xf numFmtId="185" fontId="4" fillId="33" borderId="10" xfId="66" applyNumberFormat="1" applyFont="1" applyFill="1" applyBorder="1" applyAlignment="1">
      <alignment vertical="center" wrapText="1"/>
    </xf>
    <xf numFmtId="185" fontId="5" fillId="0" borderId="10" xfId="66" applyNumberFormat="1" applyFont="1" applyFill="1" applyBorder="1" applyAlignment="1">
      <alignment vertical="center" wrapText="1"/>
    </xf>
    <xf numFmtId="185" fontId="81" fillId="33" borderId="10" xfId="66" applyNumberFormat="1" applyFont="1" applyFill="1" applyBorder="1" applyAlignment="1">
      <alignment vertical="center" wrapText="1"/>
    </xf>
    <xf numFmtId="185" fontId="81" fillId="34" borderId="10" xfId="66" applyNumberFormat="1" applyFont="1" applyFill="1" applyBorder="1" applyAlignment="1">
      <alignment vertical="center" wrapText="1"/>
    </xf>
    <xf numFmtId="185" fontId="79" fillId="34" borderId="10" xfId="66" applyNumberFormat="1" applyFont="1" applyFill="1" applyBorder="1" applyAlignment="1">
      <alignment vertical="center" wrapText="1"/>
    </xf>
    <xf numFmtId="185" fontId="4" fillId="34" borderId="10" xfId="66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2" fontId="13" fillId="0" borderId="0" xfId="0" applyNumberFormat="1" applyFont="1" applyAlignment="1">
      <alignment vertical="center" wrapText="1"/>
    </xf>
    <xf numFmtId="185" fontId="6" fillId="0" borderId="0" xfId="0" applyNumberFormat="1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vertical="center" wrapText="1"/>
    </xf>
    <xf numFmtId="0" fontId="45" fillId="0" borderId="10" xfId="0" applyFont="1" applyBorder="1" applyAlignment="1">
      <alignment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2" fontId="4" fillId="0" borderId="10" xfId="66" applyNumberFormat="1" applyFont="1" applyFill="1" applyBorder="1" applyAlignment="1">
      <alignment vertical="center" wrapText="1"/>
    </xf>
    <xf numFmtId="174" fontId="4" fillId="0" borderId="10" xfId="66" applyNumberFormat="1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174" fontId="5" fillId="0" borderId="10" xfId="66" applyNumberFormat="1" applyFont="1" applyFill="1" applyBorder="1" applyAlignment="1">
      <alignment vertical="center" wrapText="1"/>
    </xf>
    <xf numFmtId="2" fontId="5" fillId="0" borderId="10" xfId="66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2" fontId="6" fillId="0" borderId="0" xfId="0" applyNumberFormat="1" applyFont="1" applyFill="1" applyAlignment="1">
      <alignment vertical="center" wrapText="1"/>
    </xf>
    <xf numFmtId="173" fontId="6" fillId="0" borderId="0" xfId="0" applyNumberFormat="1" applyFont="1" applyFill="1" applyAlignment="1">
      <alignment vertical="center" wrapText="1"/>
    </xf>
    <xf numFmtId="172" fontId="4" fillId="0" borderId="10" xfId="66" applyNumberFormat="1" applyFont="1" applyFill="1" applyBorder="1" applyAlignment="1">
      <alignment vertical="center" wrapText="1"/>
    </xf>
    <xf numFmtId="172" fontId="5" fillId="0" borderId="10" xfId="66" applyNumberFormat="1" applyFont="1" applyFill="1" applyBorder="1" applyAlignment="1">
      <alignment vertical="center" wrapText="1"/>
    </xf>
    <xf numFmtId="185" fontId="5" fillId="34" borderId="10" xfId="66" applyNumberFormat="1" applyFont="1" applyFill="1" applyBorder="1" applyAlignment="1">
      <alignment vertical="center" wrapText="1"/>
    </xf>
    <xf numFmtId="185" fontId="46" fillId="0" borderId="10" xfId="0" applyNumberFormat="1" applyFont="1" applyFill="1" applyBorder="1" applyAlignment="1">
      <alignment horizontal="center" vertical="center"/>
    </xf>
    <xf numFmtId="185" fontId="46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185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0" fontId="46" fillId="0" borderId="10" xfId="0" applyFont="1" applyBorder="1" applyAlignment="1">
      <alignment/>
    </xf>
    <xf numFmtId="185" fontId="46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/>
    </xf>
    <xf numFmtId="49" fontId="45" fillId="0" borderId="10" xfId="0" applyNumberFormat="1" applyFont="1" applyBorder="1" applyAlignment="1">
      <alignment/>
    </xf>
    <xf numFmtId="49" fontId="45" fillId="0" borderId="0" xfId="0" applyNumberFormat="1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49" fontId="45" fillId="0" borderId="10" xfId="0" applyNumberFormat="1" applyFont="1" applyBorder="1" applyAlignment="1">
      <alignment horizontal="center" wrapText="1"/>
    </xf>
    <xf numFmtId="185" fontId="45" fillId="0" borderId="10" xfId="0" applyNumberFormat="1" applyFont="1" applyBorder="1" applyAlignment="1">
      <alignment horizontal="center" vertical="center"/>
    </xf>
    <xf numFmtId="1" fontId="45" fillId="0" borderId="10" xfId="0" applyNumberFormat="1" applyFont="1" applyBorder="1" applyAlignment="1">
      <alignment/>
    </xf>
    <xf numFmtId="185" fontId="45" fillId="0" borderId="10" xfId="0" applyNumberFormat="1" applyFont="1" applyBorder="1" applyAlignment="1">
      <alignment/>
    </xf>
    <xf numFmtId="172" fontId="5" fillId="0" borderId="10" xfId="66" applyNumberFormat="1" applyFont="1" applyFill="1" applyBorder="1" applyAlignment="1" applyProtection="1">
      <alignment vertical="center" wrapText="1"/>
      <protection locked="0"/>
    </xf>
    <xf numFmtId="49" fontId="45" fillId="0" borderId="0" xfId="0" applyNumberFormat="1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185" fontId="4" fillId="0" borderId="10" xfId="66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185" fontId="47" fillId="0" borderId="0" xfId="0" applyNumberFormat="1" applyFont="1" applyBorder="1" applyAlignment="1">
      <alignment horizontal="center"/>
    </xf>
    <xf numFmtId="185" fontId="47" fillId="0" borderId="0" xfId="0" applyNumberFormat="1" applyFont="1" applyFill="1" applyBorder="1" applyAlignment="1">
      <alignment horizontal="center"/>
    </xf>
    <xf numFmtId="185" fontId="48" fillId="0" borderId="10" xfId="0" applyNumberFormat="1" applyFont="1" applyFill="1" applyBorder="1" applyAlignment="1">
      <alignment horizontal="center"/>
    </xf>
    <xf numFmtId="0" fontId="61" fillId="0" borderId="10" xfId="0" applyFont="1" applyBorder="1" applyAlignment="1">
      <alignment horizontal="center" vertical="center" wrapText="1"/>
    </xf>
    <xf numFmtId="172" fontId="2" fillId="37" borderId="10" xfId="0" applyNumberFormat="1" applyFont="1" applyFill="1" applyBorder="1" applyAlignment="1">
      <alignment horizontal="center" vertical="center" wrapText="1"/>
    </xf>
    <xf numFmtId="185" fontId="5" fillId="37" borderId="10" xfId="66" applyNumberFormat="1" applyFont="1" applyFill="1" applyBorder="1" applyAlignment="1">
      <alignment vertical="center" wrapText="1"/>
    </xf>
    <xf numFmtId="0" fontId="7" fillId="37" borderId="10" xfId="33" applyNumberFormat="1" applyFont="1" applyFill="1" applyBorder="1" applyAlignment="1" applyProtection="1">
      <alignment horizontal="left" vertical="center" wrapText="1"/>
      <protection/>
    </xf>
    <xf numFmtId="2" fontId="76" fillId="0" borderId="0" xfId="0" applyNumberFormat="1" applyFont="1" applyFill="1" applyAlignment="1">
      <alignment horizontal="center" vertical="center" wrapText="1"/>
    </xf>
    <xf numFmtId="2" fontId="13" fillId="0" borderId="0" xfId="0" applyNumberFormat="1" applyFont="1" applyFill="1" applyAlignment="1">
      <alignment vertical="center" wrapText="1"/>
    </xf>
    <xf numFmtId="2" fontId="78" fillId="0" borderId="0" xfId="0" applyNumberFormat="1" applyFont="1" applyFill="1" applyAlignment="1">
      <alignment vertical="center" wrapText="1"/>
    </xf>
    <xf numFmtId="172" fontId="71" fillId="0" borderId="0" xfId="0" applyNumberFormat="1" applyFont="1" applyFill="1" applyAlignment="1">
      <alignment vertical="center" wrapText="1"/>
    </xf>
    <xf numFmtId="185" fontId="0" fillId="0" borderId="0" xfId="0" applyNumberFormat="1" applyFont="1" applyAlignment="1">
      <alignment/>
    </xf>
    <xf numFmtId="185" fontId="10" fillId="33" borderId="10" xfId="57" applyNumberFormat="1" applyFont="1" applyFill="1" applyBorder="1" applyAlignment="1" applyProtection="1">
      <alignment horizontal="center" vertical="center" wrapText="1"/>
      <protection/>
    </xf>
    <xf numFmtId="185" fontId="10" fillId="35" borderId="10" xfId="57" applyNumberFormat="1" applyFont="1" applyFill="1" applyBorder="1" applyAlignment="1" applyProtection="1">
      <alignment horizontal="center" vertical="center" wrapText="1"/>
      <protection/>
    </xf>
    <xf numFmtId="185" fontId="10" fillId="36" borderId="10" xfId="57" applyNumberFormat="1" applyFont="1" applyFill="1" applyBorder="1" applyAlignment="1" applyProtection="1">
      <alignment horizontal="center" vertical="center" wrapText="1"/>
      <protection/>
    </xf>
    <xf numFmtId="173" fontId="10" fillId="33" borderId="10" xfId="66" applyNumberFormat="1" applyFont="1" applyFill="1" applyBorder="1" applyAlignment="1" applyProtection="1">
      <alignment vertical="center" wrapText="1"/>
      <protection/>
    </xf>
    <xf numFmtId="173" fontId="10" fillId="35" borderId="10" xfId="66" applyNumberFormat="1" applyFont="1" applyFill="1" applyBorder="1" applyAlignment="1" applyProtection="1">
      <alignment vertical="center" wrapText="1"/>
      <protection/>
    </xf>
    <xf numFmtId="173" fontId="10" fillId="36" borderId="10" xfId="66" applyNumberFormat="1" applyFont="1" applyFill="1" applyBorder="1" applyAlignment="1" applyProtection="1">
      <alignment vertical="center" wrapText="1"/>
      <protection/>
    </xf>
    <xf numFmtId="185" fontId="4" fillId="37" borderId="10" xfId="66" applyNumberFormat="1" applyFont="1" applyFill="1" applyBorder="1" applyAlignment="1" applyProtection="1">
      <alignment vertical="center" wrapText="1"/>
      <protection locked="0"/>
    </xf>
    <xf numFmtId="0" fontId="15" fillId="0" borderId="10" xfId="54" applyFont="1" applyBorder="1">
      <alignment/>
      <protection/>
    </xf>
    <xf numFmtId="185" fontId="49" fillId="0" borderId="10" xfId="0" applyNumberFormat="1" applyFont="1" applyBorder="1" applyAlignment="1">
      <alignment horizontal="center" vertical="center"/>
    </xf>
    <xf numFmtId="4" fontId="0" fillId="38" borderId="12" xfId="0" applyNumberFormat="1" applyFill="1" applyBorder="1" applyAlignment="1">
      <alignment horizontal="right" vertical="top" wrapText="1"/>
    </xf>
    <xf numFmtId="4" fontId="0" fillId="0" borderId="10" xfId="0" applyNumberFormat="1" applyBorder="1" applyAlignment="1">
      <alignment/>
    </xf>
    <xf numFmtId="3" fontId="4" fillId="0" borderId="10" xfId="33" applyNumberFormat="1" applyFont="1" applyFill="1" applyBorder="1">
      <alignment/>
      <protection/>
    </xf>
    <xf numFmtId="4" fontId="4" fillId="0" borderId="10" xfId="66" applyNumberFormat="1" applyFont="1" applyFill="1" applyBorder="1" applyAlignment="1">
      <alignment vertical="center" wrapText="1"/>
    </xf>
    <xf numFmtId="173" fontId="5" fillId="0" borderId="10" xfId="66" applyNumberFormat="1" applyFont="1" applyFill="1" applyBorder="1" applyAlignment="1" applyProtection="1">
      <alignment vertical="center" wrapText="1"/>
      <protection locked="0"/>
    </xf>
    <xf numFmtId="4" fontId="5" fillId="0" borderId="10" xfId="66" applyNumberFormat="1" applyFont="1" applyFill="1" applyBorder="1" applyAlignment="1">
      <alignment vertical="center" wrapText="1"/>
    </xf>
    <xf numFmtId="172" fontId="71" fillId="0" borderId="0" xfId="0" applyNumberFormat="1" applyFont="1" applyAlignment="1">
      <alignment horizontal="center" vertical="center" wrapText="1"/>
    </xf>
    <xf numFmtId="4" fontId="3" fillId="0" borderId="0" xfId="0" applyNumberFormat="1" applyFont="1" applyFill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2" fontId="12" fillId="0" borderId="0" xfId="0" applyNumberFormat="1" applyFont="1" applyFill="1" applyAlignment="1">
      <alignment horizontal="left" vertical="center" wrapText="1"/>
    </xf>
    <xf numFmtId="0" fontId="73" fillId="0" borderId="0" xfId="0" applyFont="1" applyFill="1" applyAlignment="1">
      <alignment horizontal="center" vertical="center"/>
    </xf>
    <xf numFmtId="0" fontId="10" fillId="0" borderId="10" xfId="58" applyFont="1" applyFill="1" applyBorder="1" applyAlignment="1" applyProtection="1">
      <alignment horizontal="center" vertical="center" wrapText="1"/>
      <protection/>
    </xf>
    <xf numFmtId="49" fontId="7" fillId="0" borderId="10" xfId="33" applyNumberFormat="1" applyFont="1" applyFill="1" applyBorder="1" applyAlignment="1" applyProtection="1">
      <alignment horizontal="center" vertical="center" wrapText="1"/>
      <protection/>
    </xf>
    <xf numFmtId="0" fontId="9" fillId="0" borderId="10" xfId="33" applyFont="1" applyFill="1" applyBorder="1" applyAlignment="1" applyProtection="1">
      <alignment horizontal="center" vertical="center" wrapText="1"/>
      <protection/>
    </xf>
    <xf numFmtId="0" fontId="9" fillId="0" borderId="0" xfId="57" applyFont="1" applyFill="1" applyAlignment="1" applyProtection="1">
      <alignment horizontal="center" vertical="center" wrapText="1"/>
      <protection/>
    </xf>
    <xf numFmtId="0" fontId="82" fillId="10" borderId="0" xfId="0" applyFont="1" applyFill="1" applyAlignment="1">
      <alignment horizontal="center"/>
    </xf>
    <xf numFmtId="0" fontId="83" fillId="11" borderId="0" xfId="0" applyFont="1" applyFill="1" applyAlignment="1">
      <alignment horizontal="center"/>
    </xf>
    <xf numFmtId="0" fontId="52" fillId="13" borderId="13" xfId="0" applyFont="1" applyFill="1" applyBorder="1" applyAlignment="1">
      <alignment horizontal="center"/>
    </xf>
    <xf numFmtId="2" fontId="12" fillId="0" borderId="0" xfId="0" applyNumberFormat="1" applyFont="1" applyFill="1" applyAlignment="1">
      <alignment horizontal="righ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ФФПМР_ИБР_Ставрополь_2006 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_12.Приложение 1- свод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9"/>
  <sheetViews>
    <sheetView zoomScaleSheetLayoutView="110" zoomScalePageLayoutView="0" workbookViewId="0" topLeftCell="A9">
      <pane xSplit="1" topLeftCell="B1" activePane="topRight" state="frozen"/>
      <selection pane="topLeft" activeCell="A3" sqref="A3"/>
      <selection pane="topRight" activeCell="AG15" sqref="AG15"/>
    </sheetView>
  </sheetViews>
  <sheetFormatPr defaultColWidth="9.140625" defaultRowHeight="15"/>
  <cols>
    <col min="1" max="1" width="26.28125" style="66" customWidth="1"/>
    <col min="2" max="3" width="11.7109375" style="66" customWidth="1"/>
    <col min="4" max="4" width="11.421875" style="66" customWidth="1"/>
    <col min="5" max="6" width="13.421875" style="66" customWidth="1"/>
    <col min="7" max="7" width="12.8515625" style="21" customWidth="1"/>
    <col min="8" max="8" width="11.7109375" style="21" customWidth="1"/>
    <col min="9" max="9" width="15.28125" style="21" customWidth="1"/>
    <col min="10" max="11" width="13.57421875" style="21" customWidth="1"/>
    <col min="12" max="12" width="14.8515625" style="21" customWidth="1"/>
    <col min="13" max="14" width="13.57421875" style="21" customWidth="1"/>
    <col min="15" max="16" width="15.28125" style="74" customWidth="1"/>
    <col min="17" max="18" width="14.140625" style="74" customWidth="1"/>
    <col min="19" max="20" width="15.28125" style="74" customWidth="1"/>
    <col min="21" max="32" width="11.7109375" style="21" customWidth="1"/>
    <col min="33" max="33" width="15.00390625" style="21" customWidth="1"/>
    <col min="34" max="36" width="16.28125" style="21" customWidth="1"/>
    <col min="37" max="37" width="18.421875" style="21" customWidth="1"/>
    <col min="38" max="38" width="13.7109375" style="21" customWidth="1"/>
    <col min="39" max="39" width="17.7109375" style="21" customWidth="1"/>
    <col min="40" max="41" width="14.7109375" style="75" customWidth="1"/>
    <col min="42" max="16384" width="9.140625" style="66" customWidth="1"/>
  </cols>
  <sheetData>
    <row r="1" spans="1:41" ht="62.25" customHeight="1">
      <c r="A1" s="131" t="s">
        <v>127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</row>
    <row r="2" spans="1:41" s="67" customFormat="1" ht="359.25" customHeight="1">
      <c r="A2" s="63" t="s">
        <v>0</v>
      </c>
      <c r="B2" s="16" t="s">
        <v>132</v>
      </c>
      <c r="C2" s="16" t="s">
        <v>133</v>
      </c>
      <c r="D2" s="16" t="s">
        <v>15</v>
      </c>
      <c r="E2" s="8" t="s">
        <v>16</v>
      </c>
      <c r="F2" s="8" t="s">
        <v>54</v>
      </c>
      <c r="G2" s="8" t="s">
        <v>17</v>
      </c>
      <c r="H2" s="8" t="s">
        <v>18</v>
      </c>
      <c r="I2" s="8" t="s">
        <v>19</v>
      </c>
      <c r="J2" s="8" t="s">
        <v>20</v>
      </c>
      <c r="K2" s="17" t="s">
        <v>21</v>
      </c>
      <c r="L2" s="17" t="s">
        <v>22</v>
      </c>
      <c r="M2" s="17" t="s">
        <v>23</v>
      </c>
      <c r="N2" s="8" t="s">
        <v>33</v>
      </c>
      <c r="O2" s="9" t="s">
        <v>24</v>
      </c>
      <c r="P2" s="9" t="s">
        <v>117</v>
      </c>
      <c r="Q2" s="9" t="s">
        <v>26</v>
      </c>
      <c r="R2" s="9" t="s">
        <v>118</v>
      </c>
      <c r="S2" s="9" t="s">
        <v>25</v>
      </c>
      <c r="T2" s="9" t="s">
        <v>119</v>
      </c>
      <c r="U2" s="8" t="s">
        <v>27</v>
      </c>
      <c r="V2" s="8" t="s">
        <v>28</v>
      </c>
      <c r="W2" s="8" t="s">
        <v>29</v>
      </c>
      <c r="X2" s="8" t="s">
        <v>30</v>
      </c>
      <c r="Y2" s="8" t="s">
        <v>31</v>
      </c>
      <c r="Z2" s="8" t="s">
        <v>32</v>
      </c>
      <c r="AA2" s="14" t="s">
        <v>34</v>
      </c>
      <c r="AB2" s="14" t="s">
        <v>49</v>
      </c>
      <c r="AC2" s="8" t="s">
        <v>47</v>
      </c>
      <c r="AD2" s="14" t="s">
        <v>48</v>
      </c>
      <c r="AE2" s="8" t="s">
        <v>50</v>
      </c>
      <c r="AF2" s="14" t="s">
        <v>144</v>
      </c>
      <c r="AG2" s="8" t="s">
        <v>145</v>
      </c>
      <c r="AH2" s="8" t="s">
        <v>143</v>
      </c>
      <c r="AI2" s="8" t="s">
        <v>51</v>
      </c>
      <c r="AJ2" s="8" t="s">
        <v>139</v>
      </c>
      <c r="AK2" s="8" t="s">
        <v>52</v>
      </c>
      <c r="AL2" s="14" t="s">
        <v>142</v>
      </c>
      <c r="AM2" s="8" t="s">
        <v>140</v>
      </c>
      <c r="AN2" s="17" t="s">
        <v>141</v>
      </c>
      <c r="AO2" s="17" t="s">
        <v>53</v>
      </c>
    </row>
    <row r="3" spans="1:41" s="70" customFormat="1" ht="18.75">
      <c r="A3" s="18" t="s">
        <v>1</v>
      </c>
      <c r="B3" s="125">
        <v>4976</v>
      </c>
      <c r="C3" s="125">
        <v>4976</v>
      </c>
      <c r="D3" s="125">
        <v>396</v>
      </c>
      <c r="E3" s="76">
        <f>(1+D3/B3)/(1+D$15/B$15)</f>
        <v>0.9317288585419234</v>
      </c>
      <c r="F3" s="68">
        <v>136.06</v>
      </c>
      <c r="G3" s="76">
        <f>(F3/B3)/(F$15/B$15)</f>
        <v>1.2318739954283462</v>
      </c>
      <c r="H3" s="69"/>
      <c r="I3" s="22"/>
      <c r="J3" s="76">
        <f aca="true" t="shared" si="0" ref="J3:J15">SUM(I$15+(1-I$15)*H$15/B3)</f>
        <v>0.8663183279742765</v>
      </c>
      <c r="K3" s="68"/>
      <c r="L3" s="68"/>
      <c r="M3" s="68"/>
      <c r="N3" s="72">
        <f>SUM(K$15*J3+L$15*G3+M$15*E3)</f>
        <v>0.8993869555594203</v>
      </c>
      <c r="O3" s="68">
        <v>107.51</v>
      </c>
      <c r="P3" s="100">
        <f>SUM(O3*B3)</f>
        <v>534969.76</v>
      </c>
      <c r="Q3" s="68">
        <v>2047.08</v>
      </c>
      <c r="R3" s="100">
        <f>SUM(Q3*B3)</f>
        <v>10186270.08</v>
      </c>
      <c r="S3" s="68">
        <v>6960.65</v>
      </c>
      <c r="T3" s="100">
        <f>SUM(S3*B3)</f>
        <v>34636194.4</v>
      </c>
      <c r="U3" s="76">
        <f>SUM(0.2*O3*B$15/P$15+0.65*Q3*B$15/R$15+0.15*S3*B$15/T$15)</f>
        <v>0.6658183475811814</v>
      </c>
      <c r="V3" s="76">
        <f>SUM(C3/B3)</f>
        <v>1</v>
      </c>
      <c r="W3" s="76">
        <f>SUM((1+0.25*V3)/(1+0.25*V$15))</f>
        <v>1</v>
      </c>
      <c r="X3" s="22"/>
      <c r="Y3" s="22"/>
      <c r="Z3" s="76">
        <f>SUM(X$15*W3+Y$15*U3+1-X$15-Y$15)</f>
        <v>0.9785508445346214</v>
      </c>
      <c r="AA3" s="22">
        <f>SUM(Z3*N3*B3)</f>
        <v>4379.357023872238</v>
      </c>
      <c r="AB3" s="76">
        <f>SUM(Z3*N3*B$15/AA$15)</f>
        <v>0.8787927683027535</v>
      </c>
      <c r="AC3" s="22">
        <f>SUM(НПn2021!N3)</f>
        <v>21159.317609731024</v>
      </c>
      <c r="AD3" s="76">
        <f>(AC3/B3)/(AC$15/B$15)</f>
        <v>1.4973809209123112</v>
      </c>
      <c r="AE3" s="76">
        <f>SUM(AD3/AB3)</f>
        <v>1.7039067399294385</v>
      </c>
      <c r="AF3" s="22">
        <f>SUM(ПНД!K5)</f>
        <v>22580</v>
      </c>
      <c r="AG3" s="22"/>
      <c r="AH3" s="22"/>
      <c r="AI3" s="22">
        <f aca="true" t="shared" si="1" ref="AI3:AI14">SUM(AF$15+AH$15)/AF$15</f>
        <v>6.234161861841567</v>
      </c>
      <c r="AJ3" s="22">
        <f>SUM((AE3+AO3/((AF$15/B$15)*B3*AB3)))</f>
        <v>7.059215050017089</v>
      </c>
      <c r="AK3" s="22">
        <f>SUM(AF$15/B$15)*(AI$15-AE3)*AB3*B3</f>
        <v>56257.249725779635</v>
      </c>
      <c r="AL3" s="22">
        <f>SUM(AH$15*AK3/AK$15)</f>
        <v>56257.249725779635</v>
      </c>
      <c r="AM3" s="76"/>
      <c r="AN3" s="22">
        <f>SUM(AM$15*B3/B$15)</f>
        <v>10245.609131313133</v>
      </c>
      <c r="AO3" s="126">
        <f aca="true" t="shared" si="2" ref="AO3:AO14">SUM(AN3+AL3)</f>
        <v>66502.85885709277</v>
      </c>
    </row>
    <row r="4" spans="1:41" s="70" customFormat="1" ht="18.75">
      <c r="A4" s="18" t="s">
        <v>2</v>
      </c>
      <c r="B4" s="125">
        <v>2059</v>
      </c>
      <c r="C4" s="125">
        <v>2059</v>
      </c>
      <c r="D4" s="125">
        <v>0</v>
      </c>
      <c r="E4" s="76">
        <f aca="true" t="shared" si="3" ref="E4:E15">(1+D4/B4)/(1+D$15/B$15)</f>
        <v>0.8630459419405456</v>
      </c>
      <c r="F4" s="68">
        <v>28.97</v>
      </c>
      <c r="G4" s="76">
        <f aca="true" t="shared" si="4" ref="G4:G15">(F4/B4)/(F$15/B$15)</f>
        <v>0.6338818855459323</v>
      </c>
      <c r="H4" s="69"/>
      <c r="I4" s="22"/>
      <c r="J4" s="76">
        <f t="shared" si="0"/>
        <v>0.9602719766877125</v>
      </c>
      <c r="K4" s="68"/>
      <c r="L4" s="68"/>
      <c r="M4" s="68"/>
      <c r="N4" s="72">
        <f aca="true" t="shared" si="5" ref="N4:N14">SUM(K$15*J4+L$15*G4+M$15*E4)</f>
        <v>0.9165493906013147</v>
      </c>
      <c r="O4" s="68">
        <v>329.48</v>
      </c>
      <c r="P4" s="100">
        <f aca="true" t="shared" si="6" ref="P4:P14">SUM(O4*B4)</f>
        <v>678399.3200000001</v>
      </c>
      <c r="Q4" s="68"/>
      <c r="R4" s="100">
        <f aca="true" t="shared" si="7" ref="R4:R14">SUM(Q4*B4)</f>
        <v>0</v>
      </c>
      <c r="S4" s="68">
        <v>6960.65</v>
      </c>
      <c r="T4" s="100">
        <f>SUM(S4*B4)</f>
        <v>14331978.35</v>
      </c>
      <c r="U4" s="76">
        <f aca="true" t="shared" si="8" ref="U4:U13">SUM(0.2*O4*B$15/P$15+0.65*Q4*B$15/R$15+0.15*S4*B$15/T$15)</f>
        <v>0.417718848384998</v>
      </c>
      <c r="V4" s="76">
        <f aca="true" t="shared" si="9" ref="V4:V15">SUM(C4/B4)</f>
        <v>1</v>
      </c>
      <c r="W4" s="76">
        <f aca="true" t="shared" si="10" ref="W4:W15">SUM((1+0.25*V4)/(1+0.25*V$15))</f>
        <v>1</v>
      </c>
      <c r="X4" s="22"/>
      <c r="Y4" s="22"/>
      <c r="Z4" s="76">
        <f aca="true" t="shared" si="11" ref="Z4:Z15">SUM(X$15*W4+Y$15*U4+1-X$15-Y$15)</f>
        <v>0.9626267963691275</v>
      </c>
      <c r="AA4" s="22">
        <f aca="true" t="shared" si="12" ref="AA4:AA14">SUM(Z4*N4*B4)</f>
        <v>1816.645412388968</v>
      </c>
      <c r="AB4" s="76">
        <f aca="true" t="shared" si="13" ref="AB4:AB15">SUM(Z4*N4*B$15/AA$15)</f>
        <v>0.8809886508538959</v>
      </c>
      <c r="AC4" s="22">
        <f>SUM(НПn2021!N4)</f>
        <v>2842.671822644115</v>
      </c>
      <c r="AD4" s="76">
        <f aca="true" t="shared" si="14" ref="AD4:AD15">(AC4/B4)/(AC$15/B$15)</f>
        <v>0.4861624225100231</v>
      </c>
      <c r="AE4" s="76">
        <f aca="true" t="shared" si="15" ref="AE4:AE15">SUM(AD4/AB4)</f>
        <v>0.5518373273467388</v>
      </c>
      <c r="AF4" s="22">
        <f>SUM(ПНД!K6)</f>
        <v>3552</v>
      </c>
      <c r="AG4" s="22"/>
      <c r="AH4" s="22"/>
      <c r="AI4" s="22">
        <f t="shared" si="1"/>
        <v>6.234161861841567</v>
      </c>
      <c r="AJ4" s="22">
        <f aca="true" t="shared" si="16" ref="AJ4:AJ14">SUM((AE4+AO4/((AF$15/B$15)*B4*AB4)))</f>
        <v>7.057158587771041</v>
      </c>
      <c r="AK4" s="22">
        <f aca="true" t="shared" si="17" ref="AK4:AK14">SUM(AF$15/B$15)*(AI$15-AE4)*AB4*B4</f>
        <v>29271.278039476114</v>
      </c>
      <c r="AL4" s="22">
        <f aca="true" t="shared" si="18" ref="AL4:AL14">SUM(AH$15*AK4/AK$15)</f>
        <v>29271.278039476118</v>
      </c>
      <c r="AM4" s="76"/>
      <c r="AN4" s="22">
        <f aca="true" t="shared" si="19" ref="AN4:AN14">SUM(AM$15*B4/B$15)</f>
        <v>4239.491398989899</v>
      </c>
      <c r="AO4" s="126">
        <f t="shared" si="2"/>
        <v>33510.76943846601</v>
      </c>
    </row>
    <row r="5" spans="1:41" s="70" customFormat="1" ht="18.75">
      <c r="A5" s="18" t="s">
        <v>3</v>
      </c>
      <c r="B5" s="125">
        <v>1676</v>
      </c>
      <c r="C5" s="125">
        <v>1676</v>
      </c>
      <c r="D5" s="125">
        <v>73</v>
      </c>
      <c r="E5" s="76">
        <f t="shared" si="3"/>
        <v>0.9006368451396267</v>
      </c>
      <c r="F5" s="68">
        <v>37.22</v>
      </c>
      <c r="G5" s="76">
        <f t="shared" si="4"/>
        <v>1.0005033497548768</v>
      </c>
      <c r="H5" s="69"/>
      <c r="I5" s="22"/>
      <c r="J5" s="76">
        <f t="shared" si="0"/>
        <v>0.9968973747016706</v>
      </c>
      <c r="K5" s="68"/>
      <c r="L5" s="68"/>
      <c r="M5" s="68"/>
      <c r="N5" s="72">
        <f t="shared" si="5"/>
        <v>0.9617872760392265</v>
      </c>
      <c r="O5" s="68">
        <v>423.79</v>
      </c>
      <c r="P5" s="100">
        <f t="shared" si="6"/>
        <v>710272.04</v>
      </c>
      <c r="Q5" s="68">
        <v>3192.87</v>
      </c>
      <c r="R5" s="100">
        <f t="shared" si="7"/>
        <v>5351250.12</v>
      </c>
      <c r="S5" s="68">
        <v>6960.65</v>
      </c>
      <c r="T5" s="100">
        <f aca="true" t="shared" si="20" ref="T5:T14">SUM(S5*B5)</f>
        <v>11666049.399999999</v>
      </c>
      <c r="U5" s="76">
        <f t="shared" si="8"/>
        <v>1.16262947062959</v>
      </c>
      <c r="V5" s="76">
        <f t="shared" si="9"/>
        <v>1</v>
      </c>
      <c r="W5" s="76">
        <f t="shared" si="10"/>
        <v>1</v>
      </c>
      <c r="X5" s="22"/>
      <c r="Y5" s="22"/>
      <c r="Z5" s="76">
        <f t="shared" si="11"/>
        <v>1.0104382295483252</v>
      </c>
      <c r="AA5" s="22">
        <f t="shared" si="12"/>
        <v>1628.7814359077336</v>
      </c>
      <c r="AB5" s="76">
        <f t="shared" si="13"/>
        <v>0.9703877164241123</v>
      </c>
      <c r="AC5" s="22">
        <f>SUM(НПn2021!N5)</f>
        <v>6908.046817200929</v>
      </c>
      <c r="AD5" s="76">
        <f>(AC5/B5)/(AC$15/B$15)</f>
        <v>1.4514172062663517</v>
      </c>
      <c r="AE5" s="76">
        <f t="shared" si="15"/>
        <v>1.4957085520567364</v>
      </c>
      <c r="AF5" s="22">
        <f>SUM(ПНД!K7)</f>
        <v>4730</v>
      </c>
      <c r="AG5" s="22"/>
      <c r="AH5" s="22"/>
      <c r="AI5" s="22">
        <f t="shared" si="1"/>
        <v>6.234161861841567</v>
      </c>
      <c r="AJ5" s="22">
        <f t="shared" si="16"/>
        <v>6.981338235740443</v>
      </c>
      <c r="AK5" s="22">
        <f t="shared" si="17"/>
        <v>21884.916857701188</v>
      </c>
      <c r="AL5" s="22">
        <f t="shared" si="18"/>
        <v>21884.916857701188</v>
      </c>
      <c r="AM5" s="76"/>
      <c r="AN5" s="22">
        <f t="shared" si="19"/>
        <v>3450.892464646465</v>
      </c>
      <c r="AO5" s="126">
        <f t="shared" si="2"/>
        <v>25335.809322347654</v>
      </c>
    </row>
    <row r="6" spans="1:41" s="70" customFormat="1" ht="18.75">
      <c r="A6" s="18" t="s">
        <v>4</v>
      </c>
      <c r="B6" s="125">
        <v>767</v>
      </c>
      <c r="C6" s="125">
        <v>767</v>
      </c>
      <c r="D6" s="125">
        <v>48</v>
      </c>
      <c r="E6" s="76">
        <f t="shared" si="3"/>
        <v>0.9170566397412577</v>
      </c>
      <c r="F6" s="68">
        <v>19.93</v>
      </c>
      <c r="G6" s="76">
        <f t="shared" si="4"/>
        <v>1.170652851356718</v>
      </c>
      <c r="H6" s="69"/>
      <c r="I6" s="22"/>
      <c r="J6" s="76">
        <f t="shared" si="0"/>
        <v>1.2302477183833116</v>
      </c>
      <c r="K6" s="68"/>
      <c r="L6" s="68"/>
      <c r="M6" s="68"/>
      <c r="N6" s="72">
        <f t="shared" si="5"/>
        <v>1.1142290588892296</v>
      </c>
      <c r="O6" s="68">
        <v>312.69</v>
      </c>
      <c r="P6" s="100">
        <f t="shared" si="6"/>
        <v>239833.23</v>
      </c>
      <c r="Q6" s="68">
        <v>4114.59</v>
      </c>
      <c r="R6" s="100">
        <f t="shared" si="7"/>
        <v>3155890.5300000003</v>
      </c>
      <c r="S6" s="68">
        <v>6960.65</v>
      </c>
      <c r="T6" s="100">
        <f t="shared" si="20"/>
        <v>5338818.55</v>
      </c>
      <c r="U6" s="76">
        <f t="shared" si="8"/>
        <v>1.2652744882207716</v>
      </c>
      <c r="V6" s="76">
        <f t="shared" si="9"/>
        <v>1</v>
      </c>
      <c r="W6" s="76">
        <f t="shared" si="10"/>
        <v>1</v>
      </c>
      <c r="X6" s="22"/>
      <c r="Y6" s="22"/>
      <c r="Z6" s="76">
        <f t="shared" si="11"/>
        <v>1.0170264097315405</v>
      </c>
      <c r="AA6" s="22">
        <f t="shared" si="12"/>
        <v>869.1646909849711</v>
      </c>
      <c r="AB6" s="76">
        <f t="shared" si="13"/>
        <v>1.1315225285387454</v>
      </c>
      <c r="AC6" s="22">
        <f>SUM(НПn2021!N6)</f>
        <v>1690.0869021653332</v>
      </c>
      <c r="AD6" s="76">
        <f t="shared" si="14"/>
        <v>0.7759338198905393</v>
      </c>
      <c r="AE6" s="76">
        <f t="shared" si="15"/>
        <v>0.6857431472377176</v>
      </c>
      <c r="AF6" s="22">
        <f>SUM(ПНД!K13)</f>
        <v>666</v>
      </c>
      <c r="AG6" s="22"/>
      <c r="AH6" s="22"/>
      <c r="AI6" s="22">
        <f t="shared" si="1"/>
        <v>6.234161861841567</v>
      </c>
      <c r="AJ6" s="22">
        <f t="shared" si="16"/>
        <v>6.874936355452503</v>
      </c>
      <c r="AK6" s="22">
        <f t="shared" si="17"/>
        <v>13674.667891402598</v>
      </c>
      <c r="AL6" s="22">
        <f t="shared" si="18"/>
        <v>13674.667891402598</v>
      </c>
      <c r="AM6" s="76"/>
      <c r="AN6" s="22">
        <f t="shared" si="19"/>
        <v>1579.2568737373738</v>
      </c>
      <c r="AO6" s="126">
        <f t="shared" si="2"/>
        <v>15253.924765139971</v>
      </c>
    </row>
    <row r="7" spans="1:41" s="70" customFormat="1" ht="18.75">
      <c r="A7" s="18" t="s">
        <v>76</v>
      </c>
      <c r="B7" s="125">
        <v>986</v>
      </c>
      <c r="C7" s="125">
        <v>986</v>
      </c>
      <c r="D7" s="125">
        <v>279</v>
      </c>
      <c r="E7" s="76">
        <f t="shared" si="3"/>
        <v>1.10725468210425</v>
      </c>
      <c r="F7" s="68">
        <v>23.77</v>
      </c>
      <c r="G7" s="76">
        <f t="shared" si="4"/>
        <v>1.0860966129051388</v>
      </c>
      <c r="H7" s="69"/>
      <c r="I7" s="22"/>
      <c r="J7" s="76">
        <f t="shared" si="0"/>
        <v>1.134685598377282</v>
      </c>
      <c r="K7" s="68"/>
      <c r="L7" s="68"/>
      <c r="M7" s="68"/>
      <c r="N7" s="72">
        <f t="shared" si="5"/>
        <v>1.1234385908007722</v>
      </c>
      <c r="O7" s="68">
        <v>363.09</v>
      </c>
      <c r="P7" s="100">
        <f t="shared" si="6"/>
        <v>358006.74</v>
      </c>
      <c r="Q7" s="68">
        <v>5170.77</v>
      </c>
      <c r="R7" s="100">
        <f t="shared" si="7"/>
        <v>5098379.220000001</v>
      </c>
      <c r="S7" s="68">
        <v>6960.65</v>
      </c>
      <c r="T7" s="100">
        <f t="shared" si="20"/>
        <v>6863200.899999999</v>
      </c>
      <c r="U7" s="76">
        <f t="shared" si="8"/>
        <v>1.5272892263419429</v>
      </c>
      <c r="V7" s="76">
        <f t="shared" si="9"/>
        <v>1</v>
      </c>
      <c r="W7" s="76">
        <f t="shared" si="10"/>
        <v>1</v>
      </c>
      <c r="X7" s="22"/>
      <c r="Y7" s="22"/>
      <c r="Z7" s="76">
        <f t="shared" si="11"/>
        <v>1.0338435952697165</v>
      </c>
      <c r="AA7" s="22">
        <f t="shared" si="12"/>
        <v>1145.199354693319</v>
      </c>
      <c r="AB7" s="76">
        <f t="shared" si="13"/>
        <v>1.1597400991934326</v>
      </c>
      <c r="AC7" s="22">
        <f>SUM(НПn2021!N7)</f>
        <v>1976.8421138745225</v>
      </c>
      <c r="AD7" s="76">
        <f t="shared" si="14"/>
        <v>0.7060022399217889</v>
      </c>
      <c r="AE7" s="76">
        <f t="shared" si="15"/>
        <v>0.6087590145523071</v>
      </c>
      <c r="AF7" s="22">
        <f>SUM(ПНД!K9)</f>
        <v>1815.7</v>
      </c>
      <c r="AG7" s="22"/>
      <c r="AH7" s="22"/>
      <c r="AI7" s="22">
        <f t="shared" si="1"/>
        <v>6.234161861841567</v>
      </c>
      <c r="AJ7" s="22">
        <f t="shared" si="16"/>
        <v>6.859345707548061</v>
      </c>
      <c r="AK7" s="22">
        <f t="shared" si="17"/>
        <v>18267.545925721217</v>
      </c>
      <c r="AL7" s="22">
        <f t="shared" si="18"/>
        <v>18267.545925721217</v>
      </c>
      <c r="AM7" s="76"/>
      <c r="AN7" s="22">
        <f t="shared" si="19"/>
        <v>2030.17897979798</v>
      </c>
      <c r="AO7" s="126">
        <f t="shared" si="2"/>
        <v>20297.724905519197</v>
      </c>
    </row>
    <row r="8" spans="1:41" s="70" customFormat="1" ht="18.75">
      <c r="A8" s="18" t="s">
        <v>6</v>
      </c>
      <c r="B8" s="125">
        <v>1881</v>
      </c>
      <c r="C8" s="125">
        <v>1881</v>
      </c>
      <c r="D8" s="125">
        <v>292</v>
      </c>
      <c r="E8" s="76">
        <f t="shared" si="3"/>
        <v>0.9970222391476904</v>
      </c>
      <c r="F8" s="68">
        <v>30.95</v>
      </c>
      <c r="G8" s="76">
        <f t="shared" si="4"/>
        <v>0.7412898443291326</v>
      </c>
      <c r="H8" s="69"/>
      <c r="I8" s="22"/>
      <c r="J8" s="76">
        <f t="shared" si="0"/>
        <v>0.9754385964912281</v>
      </c>
      <c r="K8" s="68"/>
      <c r="L8" s="68"/>
      <c r="M8" s="68"/>
      <c r="N8" s="72">
        <f t="shared" si="5"/>
        <v>0.9774707834460561</v>
      </c>
      <c r="O8" s="68">
        <v>263.66</v>
      </c>
      <c r="P8" s="100">
        <f t="shared" si="6"/>
        <v>495944.46</v>
      </c>
      <c r="Q8" s="68">
        <v>3719.07</v>
      </c>
      <c r="R8" s="100">
        <f t="shared" si="7"/>
        <v>6995570.67</v>
      </c>
      <c r="S8" s="68">
        <v>6960.65</v>
      </c>
      <c r="T8" s="100">
        <f t="shared" si="20"/>
        <v>13092982.649999999</v>
      </c>
      <c r="U8" s="76">
        <f t="shared" si="8"/>
        <v>1.1426514351132926</v>
      </c>
      <c r="V8" s="76">
        <f t="shared" si="9"/>
        <v>1</v>
      </c>
      <c r="W8" s="76">
        <f t="shared" si="10"/>
        <v>1</v>
      </c>
      <c r="X8" s="22"/>
      <c r="Y8" s="22"/>
      <c r="Z8" s="76">
        <f t="shared" si="11"/>
        <v>1.0091559569083393</v>
      </c>
      <c r="AA8" s="22">
        <f t="shared" si="12"/>
        <v>1855.4568924425023</v>
      </c>
      <c r="AB8" s="76">
        <f t="shared" si="13"/>
        <v>0.9849599397700802</v>
      </c>
      <c r="AC8" s="22">
        <f>SUM(НПn2021!N8)</f>
        <v>3044.2630096404464</v>
      </c>
      <c r="AD8" s="76">
        <f t="shared" si="14"/>
        <v>0.5699075159028549</v>
      </c>
      <c r="AE8" s="76">
        <f t="shared" si="15"/>
        <v>0.578609842788011</v>
      </c>
      <c r="AF8" s="22">
        <f>SUM(ПНД!K14)</f>
        <v>2605</v>
      </c>
      <c r="AG8" s="22"/>
      <c r="AH8" s="22"/>
      <c r="AI8" s="22">
        <f t="shared" si="1"/>
        <v>6.234161861841567</v>
      </c>
      <c r="AJ8" s="22">
        <f t="shared" si="16"/>
        <v>6.970283957734145</v>
      </c>
      <c r="AK8" s="22">
        <f t="shared" si="17"/>
        <v>29755.78107648953</v>
      </c>
      <c r="AL8" s="22">
        <f t="shared" si="18"/>
        <v>29755.781076489526</v>
      </c>
      <c r="AM8" s="76"/>
      <c r="AN8" s="22">
        <f t="shared" si="19"/>
        <v>3872.9885000000004</v>
      </c>
      <c r="AO8" s="126">
        <f t="shared" si="2"/>
        <v>33628.769576489525</v>
      </c>
    </row>
    <row r="9" spans="1:41" s="70" customFormat="1" ht="18.75">
      <c r="A9" s="18" t="s">
        <v>14</v>
      </c>
      <c r="B9" s="125">
        <v>3250</v>
      </c>
      <c r="C9" s="125">
        <v>3250</v>
      </c>
      <c r="D9" s="125">
        <v>891</v>
      </c>
      <c r="E9" s="76">
        <f t="shared" si="3"/>
        <v>1.0996533063310152</v>
      </c>
      <c r="F9" s="68">
        <v>73.5</v>
      </c>
      <c r="G9" s="76">
        <f t="shared" si="4"/>
        <v>1.0188732744422293</v>
      </c>
      <c r="H9" s="69"/>
      <c r="I9" s="22"/>
      <c r="J9" s="76">
        <f t="shared" si="0"/>
        <v>0.9015384615384616</v>
      </c>
      <c r="K9" s="68"/>
      <c r="L9" s="68"/>
      <c r="M9" s="68"/>
      <c r="N9" s="72">
        <f t="shared" si="5"/>
        <v>0.9769214456708918</v>
      </c>
      <c r="O9" s="68">
        <v>256.24</v>
      </c>
      <c r="P9" s="100">
        <f t="shared" si="6"/>
        <v>832780</v>
      </c>
      <c r="Q9" s="68">
        <v>3398.67</v>
      </c>
      <c r="R9" s="100">
        <f t="shared" si="7"/>
        <v>11045677.5</v>
      </c>
      <c r="S9" s="68">
        <v>6960.65</v>
      </c>
      <c r="T9" s="100">
        <f t="shared" si="20"/>
        <v>22622112.5</v>
      </c>
      <c r="U9" s="76">
        <f t="shared" si="8"/>
        <v>1.0695614553063402</v>
      </c>
      <c r="V9" s="76">
        <f t="shared" si="9"/>
        <v>1</v>
      </c>
      <c r="W9" s="76">
        <f t="shared" si="10"/>
        <v>1</v>
      </c>
      <c r="X9" s="22"/>
      <c r="Y9" s="22"/>
      <c r="Z9" s="76">
        <f t="shared" si="11"/>
        <v>1.0044647408332092</v>
      </c>
      <c r="AA9" s="22">
        <f t="shared" si="12"/>
        <v>3189.170226905703</v>
      </c>
      <c r="AB9" s="76">
        <f t="shared" si="13"/>
        <v>0.9798302291592844</v>
      </c>
      <c r="AC9" s="22">
        <f>SUM(НПn2021!N9)</f>
        <v>4383.40934326854</v>
      </c>
      <c r="AD9" s="76">
        <f t="shared" si="14"/>
        <v>0.47494101643887476</v>
      </c>
      <c r="AE9" s="76">
        <f t="shared" si="15"/>
        <v>0.4847176605751227</v>
      </c>
      <c r="AF9" s="22">
        <f>SUM(ПНД!K12)</f>
        <v>4050</v>
      </c>
      <c r="AG9" s="22"/>
      <c r="AH9" s="22"/>
      <c r="AI9" s="22">
        <f t="shared" si="1"/>
        <v>6.234161861841567</v>
      </c>
      <c r="AJ9" s="22">
        <f t="shared" si="16"/>
        <v>6.974137781808731</v>
      </c>
      <c r="AK9" s="22">
        <f t="shared" si="17"/>
        <v>51993.499474580356</v>
      </c>
      <c r="AL9" s="22">
        <f t="shared" si="18"/>
        <v>51993.499474580356</v>
      </c>
      <c r="AM9" s="76"/>
      <c r="AN9" s="22">
        <f t="shared" si="19"/>
        <v>6691.766414141415</v>
      </c>
      <c r="AO9" s="126">
        <f t="shared" si="2"/>
        <v>58685.26588872177</v>
      </c>
    </row>
    <row r="10" spans="1:41" s="70" customFormat="1" ht="18.75">
      <c r="A10" s="18" t="s">
        <v>7</v>
      </c>
      <c r="B10" s="125">
        <v>833</v>
      </c>
      <c r="C10" s="125">
        <v>833</v>
      </c>
      <c r="D10" s="125">
        <v>217</v>
      </c>
      <c r="E10" s="76">
        <f t="shared" si="3"/>
        <v>1.0878730360595112</v>
      </c>
      <c r="F10" s="68">
        <v>17.42</v>
      </c>
      <c r="G10" s="76">
        <f t="shared" si="4"/>
        <v>0.9421484582820363</v>
      </c>
      <c r="H10" s="69"/>
      <c r="I10" s="22"/>
      <c r="J10" s="76">
        <f t="shared" si="0"/>
        <v>1.1961584633853541</v>
      </c>
      <c r="K10" s="68"/>
      <c r="L10" s="68"/>
      <c r="M10" s="68"/>
      <c r="N10" s="72">
        <f t="shared" si="5"/>
        <v>1.150203292042228</v>
      </c>
      <c r="O10" s="68">
        <v>259.93</v>
      </c>
      <c r="P10" s="100">
        <f t="shared" si="6"/>
        <v>216521.69</v>
      </c>
      <c r="Q10" s="68">
        <v>4434.19</v>
      </c>
      <c r="R10" s="100">
        <f t="shared" si="7"/>
        <v>3693680.2699999996</v>
      </c>
      <c r="S10" s="68">
        <v>6960.65</v>
      </c>
      <c r="T10" s="100">
        <f t="shared" si="20"/>
        <v>5798221.449999999</v>
      </c>
      <c r="U10" s="76">
        <f t="shared" si="8"/>
        <v>1.28929778912096</v>
      </c>
      <c r="V10" s="76">
        <f t="shared" si="9"/>
        <v>1</v>
      </c>
      <c r="W10" s="76">
        <f t="shared" si="10"/>
        <v>1</v>
      </c>
      <c r="X10" s="22"/>
      <c r="Y10" s="22"/>
      <c r="Z10" s="76">
        <f t="shared" si="11"/>
        <v>1.018568324172594</v>
      </c>
      <c r="AA10" s="22">
        <f t="shared" si="12"/>
        <v>975.9100128144997</v>
      </c>
      <c r="AB10" s="76">
        <f t="shared" si="13"/>
        <v>1.1698259914268656</v>
      </c>
      <c r="AC10" s="22">
        <f>SUM(НПn2021!N10)</f>
        <v>1056.5943645204538</v>
      </c>
      <c r="AD10" s="76">
        <f t="shared" si="14"/>
        <v>0.4466571576575964</v>
      </c>
      <c r="AE10" s="76">
        <f t="shared" si="15"/>
        <v>0.38181503995547034</v>
      </c>
      <c r="AF10" s="22">
        <f>SUM(ПНД!K10)</f>
        <v>3772.5</v>
      </c>
      <c r="AG10" s="22"/>
      <c r="AH10" s="22"/>
      <c r="AI10" s="22">
        <f t="shared" si="1"/>
        <v>6.234161861841567</v>
      </c>
      <c r="AJ10" s="22">
        <f t="shared" si="16"/>
        <v>6.853955558124053</v>
      </c>
      <c r="AK10" s="22">
        <f t="shared" si="17"/>
        <v>16195.1626419567</v>
      </c>
      <c r="AL10" s="22">
        <f t="shared" si="18"/>
        <v>16195.162641956698</v>
      </c>
      <c r="AM10" s="76"/>
      <c r="AN10" s="22">
        <f t="shared" si="19"/>
        <v>1715.1512070707074</v>
      </c>
      <c r="AO10" s="126">
        <f t="shared" si="2"/>
        <v>17910.313849027407</v>
      </c>
    </row>
    <row r="11" spans="1:41" s="70" customFormat="1" ht="18.75">
      <c r="A11" s="18" t="s">
        <v>75</v>
      </c>
      <c r="B11" s="125">
        <v>977</v>
      </c>
      <c r="C11" s="125">
        <v>977</v>
      </c>
      <c r="D11" s="125">
        <v>338</v>
      </c>
      <c r="E11" s="76">
        <f t="shared" si="3"/>
        <v>1.1616227365934673</v>
      </c>
      <c r="F11" s="68">
        <v>17.62</v>
      </c>
      <c r="G11" s="76">
        <f t="shared" si="4"/>
        <v>0.8125077888153276</v>
      </c>
      <c r="H11" s="69"/>
      <c r="I11" s="22"/>
      <c r="J11" s="76">
        <f t="shared" si="0"/>
        <v>1.1377686796315252</v>
      </c>
      <c r="K11" s="68"/>
      <c r="L11" s="68"/>
      <c r="M11" s="68"/>
      <c r="N11" s="72">
        <f t="shared" si="5"/>
        <v>1.1383506745628977</v>
      </c>
      <c r="O11" s="68">
        <v>301.91</v>
      </c>
      <c r="P11" s="100">
        <f t="shared" si="6"/>
        <v>294966.07</v>
      </c>
      <c r="Q11" s="68">
        <v>5052.36</v>
      </c>
      <c r="R11" s="100">
        <f t="shared" si="7"/>
        <v>4936155.72</v>
      </c>
      <c r="S11" s="68">
        <v>6960.65</v>
      </c>
      <c r="T11" s="100">
        <f t="shared" si="20"/>
        <v>6800555.05</v>
      </c>
      <c r="U11" s="76">
        <f t="shared" si="8"/>
        <v>1.4527938057534109</v>
      </c>
      <c r="V11" s="76">
        <f t="shared" si="9"/>
        <v>1</v>
      </c>
      <c r="W11" s="76">
        <f t="shared" si="10"/>
        <v>1</v>
      </c>
      <c r="X11" s="22"/>
      <c r="Y11" s="22"/>
      <c r="Z11" s="76">
        <f t="shared" si="11"/>
        <v>1.0290621722140316</v>
      </c>
      <c r="AA11" s="22">
        <f t="shared" si="12"/>
        <v>1144.4906446951427</v>
      </c>
      <c r="AB11" s="76">
        <f t="shared" si="13"/>
        <v>1.1696991577728357</v>
      </c>
      <c r="AC11" s="22">
        <f>SUM(НПn2021!N11)</f>
        <v>6032.408685803706</v>
      </c>
      <c r="AD11" s="76">
        <f t="shared" si="14"/>
        <v>2.174238602838072</v>
      </c>
      <c r="AE11" s="76">
        <f t="shared" si="15"/>
        <v>1.8588015460128466</v>
      </c>
      <c r="AF11" s="22">
        <f>SUM(ПНД!K15)</f>
        <v>5275.1</v>
      </c>
      <c r="AG11" s="22"/>
      <c r="AH11" s="22"/>
      <c r="AI11" s="22">
        <f t="shared" si="1"/>
        <v>6.234161861841567</v>
      </c>
      <c r="AJ11" s="22">
        <f t="shared" si="16"/>
        <v>6.854022764036548</v>
      </c>
      <c r="AK11" s="22">
        <f t="shared" si="17"/>
        <v>14199.451054547166</v>
      </c>
      <c r="AL11" s="22">
        <f t="shared" si="18"/>
        <v>14199.451054547166</v>
      </c>
      <c r="AM11" s="76"/>
      <c r="AN11" s="22">
        <f t="shared" si="19"/>
        <v>2011.6479343434344</v>
      </c>
      <c r="AO11" s="126">
        <f t="shared" si="2"/>
        <v>16211.0989888906</v>
      </c>
    </row>
    <row r="12" spans="1:41" s="70" customFormat="1" ht="18.75">
      <c r="A12" s="18" t="s">
        <v>9</v>
      </c>
      <c r="B12" s="125">
        <v>1233</v>
      </c>
      <c r="C12" s="125">
        <v>1233</v>
      </c>
      <c r="D12" s="125">
        <v>306</v>
      </c>
      <c r="E12" s="76">
        <f t="shared" si="3"/>
        <v>1.0772325260717759</v>
      </c>
      <c r="F12" s="68">
        <v>32.21</v>
      </c>
      <c r="G12" s="76">
        <f t="shared" si="4"/>
        <v>1.1769115927834735</v>
      </c>
      <c r="H12" s="69"/>
      <c r="I12" s="22"/>
      <c r="J12" s="76">
        <f t="shared" si="0"/>
        <v>1.067639902676399</v>
      </c>
      <c r="K12" s="68"/>
      <c r="L12" s="68"/>
      <c r="M12" s="68"/>
      <c r="N12" s="72">
        <f t="shared" si="5"/>
        <v>1.0738826586486354</v>
      </c>
      <c r="O12" s="68">
        <v>248.94</v>
      </c>
      <c r="P12" s="100">
        <f t="shared" si="6"/>
        <v>306943.02</v>
      </c>
      <c r="Q12" s="68">
        <v>4434.19</v>
      </c>
      <c r="R12" s="100">
        <f t="shared" si="7"/>
        <v>5467356.27</v>
      </c>
      <c r="S12" s="68">
        <v>6960.65</v>
      </c>
      <c r="T12" s="100">
        <f t="shared" si="20"/>
        <v>8582481.45</v>
      </c>
      <c r="U12" s="76">
        <f t="shared" si="8"/>
        <v>1.2803678688109226</v>
      </c>
      <c r="V12" s="76">
        <f t="shared" si="9"/>
        <v>1</v>
      </c>
      <c r="W12" s="76">
        <f t="shared" si="10"/>
        <v>1</v>
      </c>
      <c r="X12" s="22"/>
      <c r="Y12" s="22"/>
      <c r="Z12" s="76">
        <f t="shared" si="11"/>
        <v>1.0179951650908878</v>
      </c>
      <c r="AA12" s="22">
        <f t="shared" si="12"/>
        <v>1347.9246679496264</v>
      </c>
      <c r="AB12" s="76">
        <f t="shared" si="13"/>
        <v>1.0915887184227993</v>
      </c>
      <c r="AC12" s="22">
        <f>SUM(НПn2021!N12)</f>
        <v>5589.001095609128</v>
      </c>
      <c r="AD12" s="76">
        <f t="shared" si="14"/>
        <v>1.5961809653737247</v>
      </c>
      <c r="AE12" s="76">
        <f t="shared" si="15"/>
        <v>1.4622549119781985</v>
      </c>
      <c r="AF12" s="22">
        <f>SUM(ПНД!K11)</f>
        <v>5576</v>
      </c>
      <c r="AG12" s="22"/>
      <c r="AH12" s="22"/>
      <c r="AI12" s="22">
        <f t="shared" si="1"/>
        <v>6.234161861841567</v>
      </c>
      <c r="AJ12" s="22">
        <f t="shared" si="16"/>
        <v>6.898377937912217</v>
      </c>
      <c r="AK12" s="22">
        <f t="shared" si="17"/>
        <v>18239.086052958202</v>
      </c>
      <c r="AL12" s="22">
        <f t="shared" si="18"/>
        <v>18239.086052958202</v>
      </c>
      <c r="AM12" s="76"/>
      <c r="AN12" s="22">
        <f t="shared" si="19"/>
        <v>2538.7532272727276</v>
      </c>
      <c r="AO12" s="126">
        <f t="shared" si="2"/>
        <v>20777.83928023093</v>
      </c>
    </row>
    <row r="13" spans="1:41" s="70" customFormat="1" ht="18.75">
      <c r="A13" s="18" t="s">
        <v>10</v>
      </c>
      <c r="B13" s="125">
        <v>860</v>
      </c>
      <c r="C13" s="125">
        <v>860</v>
      </c>
      <c r="D13" s="125">
        <v>0</v>
      </c>
      <c r="E13" s="76">
        <f t="shared" si="3"/>
        <v>0.8630459419405456</v>
      </c>
      <c r="F13" s="68">
        <v>15.02</v>
      </c>
      <c r="G13" s="76">
        <f t="shared" si="4"/>
        <v>0.7868422542619431</v>
      </c>
      <c r="H13" s="69"/>
      <c r="I13" s="22"/>
      <c r="J13" s="76">
        <f t="shared" si="0"/>
        <v>1.1837209302325582</v>
      </c>
      <c r="K13" s="68"/>
      <c r="L13" s="68"/>
      <c r="M13" s="68"/>
      <c r="N13" s="72">
        <f t="shared" si="5"/>
        <v>1.0565237427504328</v>
      </c>
      <c r="O13" s="68">
        <v>238.27</v>
      </c>
      <c r="P13" s="100">
        <f t="shared" si="6"/>
        <v>204912.2</v>
      </c>
      <c r="Q13" s="68">
        <v>5170.77</v>
      </c>
      <c r="R13" s="100">
        <f t="shared" si="7"/>
        <v>4446862.2</v>
      </c>
      <c r="S13" s="68">
        <v>6960.65</v>
      </c>
      <c r="T13" s="100">
        <f t="shared" si="20"/>
        <v>5986159</v>
      </c>
      <c r="U13" s="76">
        <f t="shared" si="8"/>
        <v>1.4258667829298528</v>
      </c>
      <c r="V13" s="76">
        <f t="shared" si="9"/>
        <v>1</v>
      </c>
      <c r="W13" s="76">
        <f t="shared" si="10"/>
        <v>1</v>
      </c>
      <c r="X13" s="22"/>
      <c r="Y13" s="22"/>
      <c r="Z13" s="76">
        <f t="shared" si="11"/>
        <v>1.0273338849349967</v>
      </c>
      <c r="AA13" s="22">
        <f t="shared" si="12"/>
        <v>933.4462714026441</v>
      </c>
      <c r="AB13" s="76">
        <f t="shared" si="13"/>
        <v>1.0837955611044388</v>
      </c>
      <c r="AC13" s="22">
        <f>SUM(НПn2021!N13)</f>
        <v>997.5780815822076</v>
      </c>
      <c r="AD13" s="76">
        <f t="shared" si="14"/>
        <v>0.40846933330001906</v>
      </c>
      <c r="AE13" s="76">
        <f t="shared" si="15"/>
        <v>0.376887807958698</v>
      </c>
      <c r="AF13" s="22">
        <f>SUM(ПНД!K8)</f>
        <v>1093</v>
      </c>
      <c r="AG13" s="22"/>
      <c r="AH13" s="22"/>
      <c r="AI13" s="22">
        <f t="shared" si="1"/>
        <v>6.234161861841567</v>
      </c>
      <c r="AJ13" s="22">
        <f t="shared" si="16"/>
        <v>6.9031540604209</v>
      </c>
      <c r="AK13" s="22">
        <f t="shared" si="17"/>
        <v>15503.52144745961</v>
      </c>
      <c r="AL13" s="22">
        <f t="shared" si="18"/>
        <v>15503.52144745961</v>
      </c>
      <c r="AM13" s="76"/>
      <c r="AN13" s="22">
        <f t="shared" si="19"/>
        <v>1770.7443434343434</v>
      </c>
      <c r="AO13" s="126">
        <f t="shared" si="2"/>
        <v>17274.265790893955</v>
      </c>
    </row>
    <row r="14" spans="1:41" s="70" customFormat="1" ht="18.75">
      <c r="A14" s="18" t="s">
        <v>11</v>
      </c>
      <c r="B14" s="125">
        <v>302</v>
      </c>
      <c r="C14" s="125">
        <v>302</v>
      </c>
      <c r="D14" s="125">
        <v>302</v>
      </c>
      <c r="E14" s="76">
        <f t="shared" si="3"/>
        <v>1.7260918838810912</v>
      </c>
      <c r="F14" s="68">
        <v>6.82</v>
      </c>
      <c r="G14" s="76">
        <f t="shared" si="4"/>
        <v>1.0174044297883504</v>
      </c>
      <c r="H14" s="69"/>
      <c r="I14" s="22"/>
      <c r="J14" s="76">
        <f t="shared" si="0"/>
        <v>1.8927152317880793</v>
      </c>
      <c r="K14" s="68"/>
      <c r="L14" s="68"/>
      <c r="M14" s="68"/>
      <c r="N14" s="72">
        <f t="shared" si="5"/>
        <v>1.8098767227091956</v>
      </c>
      <c r="O14" s="68">
        <v>0</v>
      </c>
      <c r="P14" s="100">
        <f t="shared" si="6"/>
        <v>0</v>
      </c>
      <c r="Q14" s="68">
        <v>3683.92</v>
      </c>
      <c r="R14" s="100">
        <f t="shared" si="7"/>
        <v>1112543.84</v>
      </c>
      <c r="S14" s="68">
        <v>6960.65</v>
      </c>
      <c r="T14" s="100">
        <f t="shared" si="20"/>
        <v>2102116.3</v>
      </c>
      <c r="U14" s="76">
        <f>SUM(0.2*O14*B$15/P$15+0.65*Q14*B$15/R$15+0.15*S14*B$15/T$15)</f>
        <v>0.9210575823892635</v>
      </c>
      <c r="V14" s="76">
        <f t="shared" si="9"/>
        <v>1</v>
      </c>
      <c r="W14" s="76">
        <f t="shared" si="10"/>
        <v>1</v>
      </c>
      <c r="X14" s="22"/>
      <c r="Y14" s="22"/>
      <c r="Z14" s="76">
        <f t="shared" si="11"/>
        <v>0.9949331503513441</v>
      </c>
      <c r="AA14" s="22">
        <f t="shared" si="12"/>
        <v>543.8133175407331</v>
      </c>
      <c r="AB14" s="76">
        <f t="shared" si="13"/>
        <v>1.7980401690516783</v>
      </c>
      <c r="AC14" s="22">
        <f>SUM(НПn2021!N14)</f>
        <v>547.9801539595964</v>
      </c>
      <c r="AD14" s="76">
        <f t="shared" si="14"/>
        <v>0.6389529747876274</v>
      </c>
      <c r="AE14" s="76">
        <f t="shared" si="15"/>
        <v>0.355360789923077</v>
      </c>
      <c r="AF14" s="22">
        <f>SUM(ПНД!K16)</f>
        <v>512.9</v>
      </c>
      <c r="AG14" s="22"/>
      <c r="AH14" s="22"/>
      <c r="AI14" s="22">
        <f t="shared" si="1"/>
        <v>6.234161861841567</v>
      </c>
      <c r="AJ14" s="22">
        <f t="shared" si="16"/>
        <v>6.637406899251487</v>
      </c>
      <c r="AK14" s="22">
        <f t="shared" si="17"/>
        <v>9065.339811927668</v>
      </c>
      <c r="AL14" s="22">
        <f t="shared" si="18"/>
        <v>9065.339811927668</v>
      </c>
      <c r="AM14" s="76"/>
      <c r="AN14" s="22">
        <f t="shared" si="19"/>
        <v>621.8195252525253</v>
      </c>
      <c r="AO14" s="126">
        <f t="shared" si="2"/>
        <v>9687.159337180194</v>
      </c>
    </row>
    <row r="15" spans="1:41" s="73" customFormat="1" ht="18.75">
      <c r="A15" s="18" t="s">
        <v>12</v>
      </c>
      <c r="B15" s="71">
        <f>SUM(B3:B14)</f>
        <v>19800</v>
      </c>
      <c r="C15" s="71">
        <f>SUM(C3:C14)</f>
        <v>19800</v>
      </c>
      <c r="D15" s="71">
        <f>SUM(D3:D14)</f>
        <v>3142</v>
      </c>
      <c r="E15" s="77">
        <f t="shared" si="3"/>
        <v>1</v>
      </c>
      <c r="F15" s="72">
        <f>SUM(F3:F14)</f>
        <v>439.49</v>
      </c>
      <c r="G15" s="77">
        <f t="shared" si="4"/>
        <v>1</v>
      </c>
      <c r="H15" s="71">
        <f>B15/12</f>
        <v>1650</v>
      </c>
      <c r="I15" s="97">
        <v>0.8</v>
      </c>
      <c r="J15" s="77">
        <f t="shared" si="0"/>
        <v>0.8166666666666667</v>
      </c>
      <c r="K15" s="72">
        <f>SUM('а1 а2 а3'!O16)</f>
        <v>0.6092932063411978</v>
      </c>
      <c r="L15" s="72">
        <f>SUM('а1 а2 а3'!O31)</f>
        <v>0.025028854351819965</v>
      </c>
      <c r="M15" s="72">
        <f>SUM('а1 а2 а3'!O36)</f>
        <v>0.3656779393069823</v>
      </c>
      <c r="N15" s="72">
        <f>SUM(K$15*J15+L$15*G15+M$15*E15)</f>
        <v>0.8882962455041137</v>
      </c>
      <c r="O15" s="72"/>
      <c r="P15" s="55">
        <f>SUM(P3:P14)</f>
        <v>4873548.53</v>
      </c>
      <c r="Q15" s="72"/>
      <c r="R15" s="55">
        <f>SUM(R3:R14)</f>
        <v>61489636.42</v>
      </c>
      <c r="S15" s="72"/>
      <c r="T15" s="55">
        <f>SUM(T3:T14)</f>
        <v>137820870</v>
      </c>
      <c r="U15" s="77"/>
      <c r="V15" s="77">
        <f t="shared" si="9"/>
        <v>1</v>
      </c>
      <c r="W15" s="77">
        <f t="shared" si="10"/>
        <v>1</v>
      </c>
      <c r="X15" s="72">
        <f>SUM('q1q2'!O30)</f>
        <v>0.4906603267348741</v>
      </c>
      <c r="Y15" s="72">
        <f>SUM('q1q2'!O31)</f>
        <v>0.06418412055278595</v>
      </c>
      <c r="Z15" s="77">
        <f t="shared" si="11"/>
        <v>0.935815879447214</v>
      </c>
      <c r="AA15" s="23">
        <f>SUM(AA3:AA14)</f>
        <v>19829.359951598082</v>
      </c>
      <c r="AB15" s="77">
        <f t="shared" si="13"/>
        <v>0.8300509112577837</v>
      </c>
      <c r="AC15" s="23">
        <f>SUM(AC3:AC14)</f>
        <v>56228.2</v>
      </c>
      <c r="AD15" s="76">
        <f t="shared" si="14"/>
        <v>1</v>
      </c>
      <c r="AE15" s="76">
        <f t="shared" si="15"/>
        <v>1.2047453793944891</v>
      </c>
      <c r="AF15" s="23">
        <f>SUM(AF3:AF14)</f>
        <v>56228.2</v>
      </c>
      <c r="AG15" s="23">
        <v>141724.8</v>
      </c>
      <c r="AH15" s="127">
        <v>294307.5</v>
      </c>
      <c r="AI15" s="23">
        <f>SUM(AF$15+AH$15)/AF$15</f>
        <v>6.234161861841567</v>
      </c>
      <c r="AJ15" s="23"/>
      <c r="AK15" s="23">
        <f>SUM(AK3:AK14)</f>
        <v>294307.5</v>
      </c>
      <c r="AL15" s="23">
        <f>SUM(AL3:AL14)</f>
        <v>294307.5</v>
      </c>
      <c r="AM15" s="23">
        <v>40768.3</v>
      </c>
      <c r="AN15" s="23">
        <f>SUM(AN3:AN14)</f>
        <v>40768.3</v>
      </c>
      <c r="AO15" s="128">
        <f>SUM(AO3:AO14)</f>
        <v>335075.79999999993</v>
      </c>
    </row>
    <row r="16" ht="23.25" customHeight="1"/>
    <row r="17" spans="15:20" s="53" customFormat="1" ht="18.75">
      <c r="O17" s="64"/>
      <c r="P17" s="64"/>
      <c r="Q17" s="64"/>
      <c r="R17" s="64"/>
      <c r="S17" s="64"/>
      <c r="T17" s="64"/>
    </row>
    <row r="18" spans="4:37" ht="12.75" customHeight="1">
      <c r="D18" s="70"/>
      <c r="E18" s="70"/>
      <c r="F18" s="70"/>
      <c r="G18" s="70"/>
      <c r="H18" s="70"/>
      <c r="I18" s="70"/>
      <c r="J18" s="70"/>
      <c r="K18" s="70"/>
      <c r="L18" s="70"/>
      <c r="M18" s="70"/>
      <c r="Z18" s="132" t="s">
        <v>137</v>
      </c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</row>
    <row r="19" spans="4:37" s="53" customFormat="1" ht="18.75">
      <c r="D19" s="70"/>
      <c r="E19" s="70"/>
      <c r="F19" s="70"/>
      <c r="G19" s="70"/>
      <c r="H19" s="70"/>
      <c r="I19" s="70"/>
      <c r="J19" s="70"/>
      <c r="K19" s="70"/>
      <c r="L19" s="70"/>
      <c r="M19" s="70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</row>
    <row r="21" s="53" customFormat="1" ht="18.75"/>
  </sheetData>
  <sheetProtection/>
  <mergeCells count="2">
    <mergeCell ref="A1:AO1"/>
    <mergeCell ref="Z18:AK19"/>
  </mergeCells>
  <printOptions/>
  <pageMargins left="0.15748031496062992" right="0.15748031496062992" top="0.7480314960629921" bottom="0.7480314960629921" header="0.31496062992125984" footer="0.31496062992125984"/>
  <pageSetup fitToWidth="2" fitToHeight="1" horizontalDpi="600" verticalDpi="600" orientation="landscape" paperSize="9" scale="51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21"/>
  <sheetViews>
    <sheetView tabSelected="1" zoomScalePageLayoutView="0" workbookViewId="0" topLeftCell="A9">
      <pane xSplit="1" topLeftCell="N1" activePane="topRight" state="frozen"/>
      <selection pane="topLeft" activeCell="A1" sqref="A1"/>
      <selection pane="topRight" activeCell="S19" sqref="S19:AF21"/>
    </sheetView>
  </sheetViews>
  <sheetFormatPr defaultColWidth="9.140625" defaultRowHeight="15"/>
  <cols>
    <col min="1" max="1" width="25.140625" style="66" customWidth="1"/>
    <col min="2" max="2" width="12.140625" style="66" customWidth="1"/>
    <col min="3" max="3" width="11.28125" style="66" customWidth="1"/>
    <col min="4" max="4" width="14.421875" style="66" customWidth="1"/>
    <col min="5" max="5" width="12.7109375" style="66" customWidth="1"/>
    <col min="6" max="6" width="13.421875" style="66" customWidth="1"/>
    <col min="7" max="7" width="12.8515625" style="21" customWidth="1"/>
    <col min="8" max="8" width="13.7109375" style="21" customWidth="1"/>
    <col min="9" max="9" width="18.140625" style="21" customWidth="1"/>
    <col min="10" max="10" width="11.00390625" style="21" customWidth="1"/>
    <col min="11" max="12" width="16.28125" style="21" customWidth="1"/>
    <col min="13" max="13" width="15.421875" style="21" customWidth="1"/>
    <col min="14" max="14" width="13.57421875" style="21" customWidth="1"/>
    <col min="15" max="16" width="15.28125" style="74" customWidth="1"/>
    <col min="17" max="18" width="15.421875" style="74" customWidth="1"/>
    <col min="19" max="20" width="15.28125" style="74" customWidth="1"/>
    <col min="21" max="32" width="11.7109375" style="21" customWidth="1"/>
    <col min="33" max="33" width="18.00390625" style="21" customWidth="1"/>
    <col min="34" max="36" width="16.28125" style="21" customWidth="1"/>
    <col min="37" max="37" width="18.421875" style="21" customWidth="1"/>
    <col min="38" max="38" width="13.7109375" style="21" customWidth="1"/>
    <col min="39" max="39" width="17.7109375" style="21" customWidth="1"/>
    <col min="40" max="40" width="14.7109375" style="75" customWidth="1"/>
    <col min="41" max="41" width="14.57421875" style="75" customWidth="1"/>
    <col min="42" max="42" width="9.140625" style="66" customWidth="1"/>
    <col min="43" max="44" width="14.28125" style="66" hidden="1" customWidth="1"/>
    <col min="45" max="16384" width="9.140625" style="66" customWidth="1"/>
  </cols>
  <sheetData>
    <row r="1" spans="1:41" ht="24.75" customHeight="1">
      <c r="A1" s="133" t="s">
        <v>134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</row>
    <row r="2" spans="1:41" s="67" customFormat="1" ht="280.5">
      <c r="A2" s="63" t="s">
        <v>0</v>
      </c>
      <c r="B2" s="16" t="s">
        <v>132</v>
      </c>
      <c r="C2" s="16" t="s">
        <v>133</v>
      </c>
      <c r="D2" s="16" t="s">
        <v>15</v>
      </c>
      <c r="E2" s="8" t="s">
        <v>16</v>
      </c>
      <c r="F2" s="8" t="s">
        <v>54</v>
      </c>
      <c r="G2" s="8" t="s">
        <v>17</v>
      </c>
      <c r="H2" s="8" t="s">
        <v>18</v>
      </c>
      <c r="I2" s="8" t="s">
        <v>19</v>
      </c>
      <c r="J2" s="8" t="s">
        <v>20</v>
      </c>
      <c r="K2" s="17" t="s">
        <v>21</v>
      </c>
      <c r="L2" s="17" t="s">
        <v>22</v>
      </c>
      <c r="M2" s="17" t="s">
        <v>23</v>
      </c>
      <c r="N2" s="8" t="s">
        <v>33</v>
      </c>
      <c r="O2" s="9" t="s">
        <v>24</v>
      </c>
      <c r="P2" s="9" t="s">
        <v>117</v>
      </c>
      <c r="Q2" s="9" t="s">
        <v>26</v>
      </c>
      <c r="R2" s="9" t="s">
        <v>118</v>
      </c>
      <c r="S2" s="9" t="s">
        <v>25</v>
      </c>
      <c r="T2" s="9" t="s">
        <v>119</v>
      </c>
      <c r="U2" s="8" t="s">
        <v>27</v>
      </c>
      <c r="V2" s="8" t="s">
        <v>28</v>
      </c>
      <c r="W2" s="8" t="s">
        <v>29</v>
      </c>
      <c r="X2" s="8" t="s">
        <v>30</v>
      </c>
      <c r="Y2" s="8" t="s">
        <v>31</v>
      </c>
      <c r="Z2" s="8" t="s">
        <v>32</v>
      </c>
      <c r="AA2" s="14" t="s">
        <v>34</v>
      </c>
      <c r="AB2" s="14" t="s">
        <v>49</v>
      </c>
      <c r="AC2" s="8" t="s">
        <v>47</v>
      </c>
      <c r="AD2" s="14" t="s">
        <v>48</v>
      </c>
      <c r="AE2" s="8" t="s">
        <v>50</v>
      </c>
      <c r="AF2" s="14" t="s">
        <v>144</v>
      </c>
      <c r="AG2" s="8" t="s">
        <v>145</v>
      </c>
      <c r="AH2" s="8" t="s">
        <v>143</v>
      </c>
      <c r="AI2" s="8" t="s">
        <v>51</v>
      </c>
      <c r="AJ2" s="8" t="s">
        <v>139</v>
      </c>
      <c r="AK2" s="8" t="s">
        <v>52</v>
      </c>
      <c r="AL2" s="14" t="s">
        <v>142</v>
      </c>
      <c r="AM2" s="8" t="s">
        <v>140</v>
      </c>
      <c r="AN2" s="17" t="s">
        <v>141</v>
      </c>
      <c r="AO2" s="17" t="s">
        <v>53</v>
      </c>
    </row>
    <row r="3" spans="1:44" s="70" customFormat="1" ht="18.75">
      <c r="A3" s="18" t="s">
        <v>1</v>
      </c>
      <c r="B3" s="125">
        <v>4976</v>
      </c>
      <c r="C3" s="125">
        <v>4976</v>
      </c>
      <c r="D3" s="125">
        <v>396</v>
      </c>
      <c r="E3" s="76">
        <f>(1+D3/B3)/(1+D$15/B$15)</f>
        <v>0.9317288585419234</v>
      </c>
      <c r="F3" s="68">
        <v>136.06</v>
      </c>
      <c r="G3" s="76">
        <f>(F3/B3)/(F$15/B$15)</f>
        <v>1.2318739954283462</v>
      </c>
      <c r="H3" s="69"/>
      <c r="I3" s="22"/>
      <c r="J3" s="76">
        <f aca="true" t="shared" si="0" ref="J3:J15">SUM(I$15+(1-I$15)*H$15/B3)</f>
        <v>0.8663183279742765</v>
      </c>
      <c r="K3" s="68"/>
      <c r="L3" s="68"/>
      <c r="M3" s="68"/>
      <c r="N3" s="72">
        <f>SUM(K$15*J3+L$15*G3+M$15*E3)</f>
        <v>0.8993869555594203</v>
      </c>
      <c r="O3" s="68">
        <v>111.38</v>
      </c>
      <c r="P3" s="68">
        <f>SUM(O3*B3)</f>
        <v>554226.88</v>
      </c>
      <c r="Q3" s="68">
        <v>2120.77</v>
      </c>
      <c r="R3" s="68">
        <f>SUM(Q3*B3)</f>
        <v>10552951.52</v>
      </c>
      <c r="S3" s="68">
        <v>7239.07</v>
      </c>
      <c r="T3" s="68">
        <f>SUM(S3*B3)</f>
        <v>36021612.32</v>
      </c>
      <c r="U3" s="76">
        <f>SUM(0.2*O3*B$15/P$15+0.65*Q3*B$15/R$15+0.15*S3*B$15/T$15)</f>
        <v>0.6658171533206662</v>
      </c>
      <c r="V3" s="76">
        <f>SUM(C3/B3)</f>
        <v>1</v>
      </c>
      <c r="W3" s="76">
        <f>SUM((1+0.25*V3)/(1+0.25*V$15))</f>
        <v>1</v>
      </c>
      <c r="X3" s="22"/>
      <c r="Y3" s="22"/>
      <c r="Z3" s="76">
        <f>SUM(X$15*W3+Y$15*U3+1-X$15-Y$15)</f>
        <v>0.9785507678820604</v>
      </c>
      <c r="AA3" s="22">
        <f>SUM(Z3*N3*B3)</f>
        <v>4379.356680825237</v>
      </c>
      <c r="AB3" s="76">
        <f>SUM(Z3*N3*B$15/AA$15)</f>
        <v>0.8787926996685664</v>
      </c>
      <c r="AC3" s="22">
        <f>SUM(НПn2022!N3)</f>
        <v>21297.48719271389</v>
      </c>
      <c r="AD3" s="76">
        <f>(AC3/B3)/(AC$15/B$15)</f>
        <v>1.4977611643566073</v>
      </c>
      <c r="AE3" s="76">
        <f>SUM(AD3/AB3)</f>
        <v>1.7043395614477483</v>
      </c>
      <c r="AF3" s="22">
        <f>SUM(ПНД!L5)</f>
        <v>22680</v>
      </c>
      <c r="AG3" s="22"/>
      <c r="AH3" s="22"/>
      <c r="AI3" s="22">
        <f aca="true" t="shared" si="1" ref="AI3:AI15">SUM(AF$15+AH$15)/AF$15</f>
        <v>6.254279705201394</v>
      </c>
      <c r="AJ3" s="22">
        <f>SUM((AE3+AO3/((AF$15/B$15)*B3*AB3)))</f>
        <v>7.0741884961127095</v>
      </c>
      <c r="AK3" s="22">
        <f>SUM(AF$15/B$15)*(AI$15-AE3)*AB3*B3</f>
        <v>56856.21230131778</v>
      </c>
      <c r="AL3" s="22">
        <f>SUM(AH$15*AK3/AK$15)</f>
        <v>56856.21230131779</v>
      </c>
      <c r="AM3" s="76"/>
      <c r="AN3" s="22">
        <f>SUM(AM$15*B3/B$15)</f>
        <v>10245.609131313133</v>
      </c>
      <c r="AO3" s="126">
        <f>SUM(AN3+AL3)</f>
        <v>67101.82143263092</v>
      </c>
      <c r="AQ3" s="64">
        <v>66822.5</v>
      </c>
      <c r="AR3" s="64">
        <v>67101.8</v>
      </c>
    </row>
    <row r="4" spans="1:44" s="70" customFormat="1" ht="18.75">
      <c r="A4" s="18" t="s">
        <v>2</v>
      </c>
      <c r="B4" s="125">
        <v>2059</v>
      </c>
      <c r="C4" s="125">
        <v>2059</v>
      </c>
      <c r="D4" s="125">
        <v>0</v>
      </c>
      <c r="E4" s="76">
        <f aca="true" t="shared" si="2" ref="E4:E15">(1+D4/B4)/(1+D$15/B$15)</f>
        <v>0.8630459419405456</v>
      </c>
      <c r="F4" s="68">
        <v>28.97</v>
      </c>
      <c r="G4" s="76">
        <f aca="true" t="shared" si="3" ref="G4:G15">(F4/B4)/(F$15/B$15)</f>
        <v>0.6338818855459323</v>
      </c>
      <c r="H4" s="69"/>
      <c r="I4" s="22"/>
      <c r="J4" s="76">
        <f t="shared" si="0"/>
        <v>0.9602719766877125</v>
      </c>
      <c r="K4" s="68"/>
      <c r="L4" s="68"/>
      <c r="M4" s="68"/>
      <c r="N4" s="72">
        <f aca="true" t="shared" si="4" ref="N4:N14">SUM(K$15*J4+L$15*G4+M$15*E4)</f>
        <v>0.9165493906013147</v>
      </c>
      <c r="O4" s="68">
        <v>341.35</v>
      </c>
      <c r="P4" s="68">
        <f aca="true" t="shared" si="5" ref="P4:P14">SUM(O4*B4)</f>
        <v>702839.65</v>
      </c>
      <c r="Q4" s="68">
        <v>0</v>
      </c>
      <c r="R4" s="68">
        <f aca="true" t="shared" si="6" ref="R4:R14">SUM(Q4*B4)</f>
        <v>0</v>
      </c>
      <c r="S4" s="68">
        <v>7239.07</v>
      </c>
      <c r="T4" s="68">
        <f aca="true" t="shared" si="7" ref="T4:T14">SUM(S4*B4)</f>
        <v>14905245.129999999</v>
      </c>
      <c r="U4" s="76">
        <f aca="true" t="shared" si="8" ref="U4:U13">SUM(0.2*O4*B$15/P$15+0.65*Q4*B$15/R$15+0.15*S4*B$15/T$15)</f>
        <v>0.41772615513685596</v>
      </c>
      <c r="V4" s="76">
        <f aca="true" t="shared" si="9" ref="V4:V15">SUM(C4/B4)</f>
        <v>1</v>
      </c>
      <c r="W4" s="76">
        <f aca="true" t="shared" si="10" ref="W4:W15">SUM((1+0.25*V4)/(1+0.25*V$15))</f>
        <v>1</v>
      </c>
      <c r="X4" s="22"/>
      <c r="Y4" s="22"/>
      <c r="Z4" s="76">
        <f aca="true" t="shared" si="11" ref="Z4:Z15">SUM(X$15*W4+Y$15*U4+1-X$15-Y$15)</f>
        <v>0.9626272653465697</v>
      </c>
      <c r="AA4" s="22">
        <f aca="true" t="shared" si="12" ref="AA4:AA14">SUM(Z4*N4*B4)</f>
        <v>1816.6462974315639</v>
      </c>
      <c r="AB4" s="76">
        <f aca="true" t="shared" si="13" ref="AB4:AB15">SUM(Z4*N4*B$15/AA$15)</f>
        <v>0.8809890802630101</v>
      </c>
      <c r="AC4" s="22">
        <f>SUM(НПn2022!N4)</f>
        <v>2863.838267332576</v>
      </c>
      <c r="AD4" s="76">
        <f aca="true" t="shared" si="14" ref="AD4:AD15">(AC4/B4)/(AC$15/B$15)</f>
        <v>0.48672842829144636</v>
      </c>
      <c r="AE4" s="76">
        <f aca="true" t="shared" si="15" ref="AE4:AE15">SUM(AD4/AB4)</f>
        <v>0.5524795246566946</v>
      </c>
      <c r="AF4" s="22">
        <f>SUM(ПНД!L6)</f>
        <v>3555</v>
      </c>
      <c r="AG4" s="22"/>
      <c r="AH4" s="22"/>
      <c r="AI4" s="22">
        <f t="shared" si="1"/>
        <v>6.254279705201394</v>
      </c>
      <c r="AJ4" s="22">
        <f aca="true" t="shared" si="16" ref="AJ4:AJ14">SUM((AE4+AO4/((AF$15/B$15)*B4*AB4)))</f>
        <v>7.072144393866819</v>
      </c>
      <c r="AK4" s="22">
        <f aca="true" t="shared" si="17" ref="AK4:AK14">SUM(AF$15/B$15)*(AI$15-AE4)*AB4*B4</f>
        <v>29555.90718022428</v>
      </c>
      <c r="AL4" s="22">
        <f aca="true" t="shared" si="18" ref="AL4:AL14">SUM(AH$15*AK4/AK$15)</f>
        <v>29555.907180224287</v>
      </c>
      <c r="AM4" s="76"/>
      <c r="AN4" s="22">
        <f aca="true" t="shared" si="19" ref="AN4:AN14">SUM(AM$15*B4/B$15)</f>
        <v>4239.491398989899</v>
      </c>
      <c r="AO4" s="126">
        <f aca="true" t="shared" si="20" ref="AO4:AO14">SUM(AN4+AL4)</f>
        <v>33795.39857921418</v>
      </c>
      <c r="AQ4" s="64">
        <v>33679.5</v>
      </c>
      <c r="AR4" s="64">
        <v>33795.4</v>
      </c>
    </row>
    <row r="5" spans="1:44" s="70" customFormat="1" ht="18.75">
      <c r="A5" s="18" t="s">
        <v>3</v>
      </c>
      <c r="B5" s="125">
        <v>1676</v>
      </c>
      <c r="C5" s="125">
        <v>1676</v>
      </c>
      <c r="D5" s="125">
        <v>73</v>
      </c>
      <c r="E5" s="76">
        <f t="shared" si="2"/>
        <v>0.9006368451396267</v>
      </c>
      <c r="F5" s="68">
        <v>37.22</v>
      </c>
      <c r="G5" s="76">
        <f t="shared" si="3"/>
        <v>1.0005033497548768</v>
      </c>
      <c r="H5" s="69"/>
      <c r="I5" s="22"/>
      <c r="J5" s="76">
        <f t="shared" si="0"/>
        <v>0.9968973747016706</v>
      </c>
      <c r="K5" s="68"/>
      <c r="L5" s="68"/>
      <c r="M5" s="68"/>
      <c r="N5" s="72">
        <f t="shared" si="4"/>
        <v>0.9617872760392265</v>
      </c>
      <c r="O5" s="68">
        <v>439.04</v>
      </c>
      <c r="P5" s="68">
        <f t="shared" si="5"/>
        <v>735831.04</v>
      </c>
      <c r="Q5" s="68">
        <v>3307.82</v>
      </c>
      <c r="R5" s="68">
        <f t="shared" si="6"/>
        <v>5543906.32</v>
      </c>
      <c r="S5" s="68">
        <v>7239.07</v>
      </c>
      <c r="T5" s="68">
        <f t="shared" si="7"/>
        <v>12132681.32</v>
      </c>
      <c r="U5" s="76">
        <f t="shared" si="8"/>
        <v>1.1626262480240288</v>
      </c>
      <c r="V5" s="76">
        <f t="shared" si="9"/>
        <v>1</v>
      </c>
      <c r="W5" s="76">
        <f t="shared" si="10"/>
        <v>1</v>
      </c>
      <c r="X5" s="22"/>
      <c r="Y5" s="22"/>
      <c r="Z5" s="76">
        <f t="shared" si="11"/>
        <v>1.0104380227082215</v>
      </c>
      <c r="AA5" s="22">
        <f t="shared" si="12"/>
        <v>1628.7811024906962</v>
      </c>
      <c r="AB5" s="76">
        <f t="shared" si="13"/>
        <v>0.9703875180078023</v>
      </c>
      <c r="AC5" s="22">
        <f>SUM(НПn2022!N5)</f>
        <v>6950.011139259894</v>
      </c>
      <c r="AD5" s="76">
        <f t="shared" si="14"/>
        <v>1.4511291219324225</v>
      </c>
      <c r="AE5" s="76">
        <f t="shared" si="15"/>
        <v>1.4954119823300889</v>
      </c>
      <c r="AF5" s="22">
        <f>SUM(ПНД!L7)</f>
        <v>4830</v>
      </c>
      <c r="AG5" s="22"/>
      <c r="AH5" s="22"/>
      <c r="AI5" s="22">
        <f t="shared" si="1"/>
        <v>6.254279705201394</v>
      </c>
      <c r="AJ5" s="22">
        <f t="shared" si="16"/>
        <v>6.9967973555996466</v>
      </c>
      <c r="AK5" s="22">
        <f t="shared" si="17"/>
        <v>22117.104901543655</v>
      </c>
      <c r="AL5" s="22">
        <f t="shared" si="18"/>
        <v>22117.10490154366</v>
      </c>
      <c r="AM5" s="76"/>
      <c r="AN5" s="22">
        <f t="shared" si="19"/>
        <v>3450.892464646465</v>
      </c>
      <c r="AO5" s="126">
        <f t="shared" si="20"/>
        <v>25567.997366190124</v>
      </c>
      <c r="AQ5" s="64">
        <v>25464.1</v>
      </c>
      <c r="AR5" s="64">
        <v>25568</v>
      </c>
    </row>
    <row r="6" spans="1:44" s="70" customFormat="1" ht="18.75">
      <c r="A6" s="18" t="s">
        <v>4</v>
      </c>
      <c r="B6" s="125">
        <v>767</v>
      </c>
      <c r="C6" s="125">
        <v>767</v>
      </c>
      <c r="D6" s="125">
        <v>48</v>
      </c>
      <c r="E6" s="76">
        <f t="shared" si="2"/>
        <v>0.9170566397412577</v>
      </c>
      <c r="F6" s="68">
        <v>19.93</v>
      </c>
      <c r="G6" s="76">
        <f t="shared" si="3"/>
        <v>1.170652851356718</v>
      </c>
      <c r="H6" s="69"/>
      <c r="I6" s="22"/>
      <c r="J6" s="76">
        <f t="shared" si="0"/>
        <v>1.2302477183833116</v>
      </c>
      <c r="K6" s="68"/>
      <c r="L6" s="68"/>
      <c r="M6" s="68"/>
      <c r="N6" s="72">
        <f t="shared" si="4"/>
        <v>1.1142290588892296</v>
      </c>
      <c r="O6" s="68">
        <v>323.95</v>
      </c>
      <c r="P6" s="68">
        <f t="shared" si="5"/>
        <v>248469.65</v>
      </c>
      <c r="Q6" s="68">
        <v>4262.72</v>
      </c>
      <c r="R6" s="68">
        <f t="shared" si="6"/>
        <v>3269506.24</v>
      </c>
      <c r="S6" s="68">
        <v>7239.07</v>
      </c>
      <c r="T6" s="68">
        <f t="shared" si="7"/>
        <v>5552366.6899999995</v>
      </c>
      <c r="U6" s="76">
        <f t="shared" si="8"/>
        <v>1.2652782141323407</v>
      </c>
      <c r="V6" s="76">
        <f t="shared" si="9"/>
        <v>1</v>
      </c>
      <c r="W6" s="76">
        <f t="shared" si="10"/>
        <v>1</v>
      </c>
      <c r="X6" s="22"/>
      <c r="Y6" s="22"/>
      <c r="Z6" s="76">
        <f t="shared" si="11"/>
        <v>1.0170266488758977</v>
      </c>
      <c r="AA6" s="22">
        <f t="shared" si="12"/>
        <v>869.1648953610123</v>
      </c>
      <c r="AB6" s="76">
        <f t="shared" si="13"/>
        <v>1.13152279486854</v>
      </c>
      <c r="AC6" s="22">
        <f>SUM(НПn2022!N6)</f>
        <v>1702.5384302526807</v>
      </c>
      <c r="AD6" s="76">
        <f t="shared" si="14"/>
        <v>0.7767765946972878</v>
      </c>
      <c r="AE6" s="76">
        <f t="shared" si="15"/>
        <v>0.6864878005286084</v>
      </c>
      <c r="AF6" s="22">
        <f>SUM(ПНД!L13)</f>
        <v>691</v>
      </c>
      <c r="AG6" s="22"/>
      <c r="AH6" s="22"/>
      <c r="AI6" s="22">
        <f t="shared" si="1"/>
        <v>6.254279705201394</v>
      </c>
      <c r="AJ6" s="22">
        <f t="shared" si="16"/>
        <v>6.891058622174655</v>
      </c>
      <c r="AK6" s="22">
        <f t="shared" si="17"/>
        <v>13808.518785120268</v>
      </c>
      <c r="AL6" s="22">
        <f t="shared" si="18"/>
        <v>13808.518785120272</v>
      </c>
      <c r="AM6" s="76"/>
      <c r="AN6" s="22">
        <f t="shared" si="19"/>
        <v>1579.2568737373738</v>
      </c>
      <c r="AO6" s="126">
        <f t="shared" si="20"/>
        <v>15387.775658857645</v>
      </c>
      <c r="AQ6" s="64">
        <v>15332.3</v>
      </c>
      <c r="AR6" s="64">
        <v>15387.8</v>
      </c>
    </row>
    <row r="7" spans="1:44" s="70" customFormat="1" ht="18.75">
      <c r="A7" s="18" t="s">
        <v>76</v>
      </c>
      <c r="B7" s="125">
        <v>986</v>
      </c>
      <c r="C7" s="125">
        <v>986</v>
      </c>
      <c r="D7" s="125">
        <v>279</v>
      </c>
      <c r="E7" s="76">
        <f t="shared" si="2"/>
        <v>1.10725468210425</v>
      </c>
      <c r="F7" s="68">
        <v>23.77</v>
      </c>
      <c r="G7" s="76">
        <f t="shared" si="3"/>
        <v>1.0860966129051388</v>
      </c>
      <c r="H7" s="69"/>
      <c r="I7" s="22"/>
      <c r="J7" s="76">
        <f t="shared" si="0"/>
        <v>1.134685598377282</v>
      </c>
      <c r="K7" s="68"/>
      <c r="L7" s="68"/>
      <c r="M7" s="68"/>
      <c r="N7" s="72">
        <f t="shared" si="4"/>
        <v>1.1234385908007722</v>
      </c>
      <c r="O7" s="68">
        <v>376.16</v>
      </c>
      <c r="P7" s="68">
        <f t="shared" si="5"/>
        <v>370893.76</v>
      </c>
      <c r="Q7" s="68">
        <v>5356.92</v>
      </c>
      <c r="R7" s="68">
        <f t="shared" si="6"/>
        <v>5281923.12</v>
      </c>
      <c r="S7" s="68">
        <v>7239.07</v>
      </c>
      <c r="T7" s="68">
        <f t="shared" si="7"/>
        <v>7137723.02</v>
      </c>
      <c r="U7" s="76">
        <f t="shared" si="8"/>
        <v>1.5272890312168155</v>
      </c>
      <c r="V7" s="76">
        <f t="shared" si="9"/>
        <v>1</v>
      </c>
      <c r="W7" s="76">
        <f t="shared" si="10"/>
        <v>1</v>
      </c>
      <c r="X7" s="22"/>
      <c r="Y7" s="22"/>
      <c r="Z7" s="76">
        <f t="shared" si="11"/>
        <v>1.0338435827457817</v>
      </c>
      <c r="AA7" s="22">
        <f t="shared" si="12"/>
        <v>1145.1993408204257</v>
      </c>
      <c r="AB7" s="76">
        <f t="shared" si="13"/>
        <v>1.159740085413679</v>
      </c>
      <c r="AC7" s="22">
        <f>SUM(НПn2022!N7)</f>
        <v>1990.7737856645904</v>
      </c>
      <c r="AD7" s="76">
        <f t="shared" si="14"/>
        <v>0.7065445810667469</v>
      </c>
      <c r="AE7" s="76">
        <f t="shared" si="15"/>
        <v>0.6092266620367119</v>
      </c>
      <c r="AF7" s="22">
        <f>SUM(ПНД!L9)</f>
        <v>1815.7</v>
      </c>
      <c r="AG7" s="22"/>
      <c r="AH7" s="22"/>
      <c r="AI7" s="22">
        <f t="shared" si="1"/>
        <v>6.254279705201394</v>
      </c>
      <c r="AJ7" s="22">
        <f t="shared" si="16"/>
        <v>6.875565344034799</v>
      </c>
      <c r="AK7" s="22">
        <f t="shared" si="17"/>
        <v>18446.37524472158</v>
      </c>
      <c r="AL7" s="22">
        <f t="shared" si="18"/>
        <v>18446.375244721585</v>
      </c>
      <c r="AM7" s="76"/>
      <c r="AN7" s="22">
        <f t="shared" si="19"/>
        <v>2030.17897979798</v>
      </c>
      <c r="AO7" s="126">
        <f t="shared" si="20"/>
        <v>20476.554224519565</v>
      </c>
      <c r="AQ7" s="64">
        <v>20403.5</v>
      </c>
      <c r="AR7" s="64">
        <v>20476.6</v>
      </c>
    </row>
    <row r="8" spans="1:44" s="70" customFormat="1" ht="18.75">
      <c r="A8" s="18" t="s">
        <v>6</v>
      </c>
      <c r="B8" s="125">
        <v>1881</v>
      </c>
      <c r="C8" s="125">
        <v>1881</v>
      </c>
      <c r="D8" s="125">
        <v>292</v>
      </c>
      <c r="E8" s="76">
        <f t="shared" si="2"/>
        <v>0.9970222391476904</v>
      </c>
      <c r="F8" s="68">
        <v>30.95</v>
      </c>
      <c r="G8" s="76">
        <f t="shared" si="3"/>
        <v>0.7412898443291326</v>
      </c>
      <c r="H8" s="69"/>
      <c r="I8" s="22"/>
      <c r="J8" s="76">
        <f t="shared" si="0"/>
        <v>0.9754385964912281</v>
      </c>
      <c r="K8" s="68"/>
      <c r="L8" s="68"/>
      <c r="M8" s="68"/>
      <c r="N8" s="72">
        <f t="shared" si="4"/>
        <v>0.9774707834460561</v>
      </c>
      <c r="O8" s="68">
        <v>273.15</v>
      </c>
      <c r="P8" s="68">
        <f t="shared" si="5"/>
        <v>513795.14999999997</v>
      </c>
      <c r="Q8" s="68">
        <v>3852.96</v>
      </c>
      <c r="R8" s="68">
        <f t="shared" si="6"/>
        <v>7247417.76</v>
      </c>
      <c r="S8" s="68">
        <v>7239.07</v>
      </c>
      <c r="T8" s="68">
        <f t="shared" si="7"/>
        <v>13616690.67</v>
      </c>
      <c r="U8" s="76">
        <f t="shared" si="8"/>
        <v>1.1426509891981036</v>
      </c>
      <c r="V8" s="76">
        <f t="shared" si="9"/>
        <v>1</v>
      </c>
      <c r="W8" s="76">
        <f t="shared" si="10"/>
        <v>1</v>
      </c>
      <c r="X8" s="22"/>
      <c r="Y8" s="22"/>
      <c r="Z8" s="76">
        <f t="shared" si="11"/>
        <v>1.0091559282876652</v>
      </c>
      <c r="AA8" s="22">
        <f t="shared" si="12"/>
        <v>1855.4568398198855</v>
      </c>
      <c r="AB8" s="76">
        <f t="shared" si="13"/>
        <v>0.9849599120643319</v>
      </c>
      <c r="AC8" s="22">
        <f>SUM(НПn2022!N8)</f>
        <v>3065.774753605581</v>
      </c>
      <c r="AD8" s="76">
        <f t="shared" si="14"/>
        <v>0.5703560063598773</v>
      </c>
      <c r="AE8" s="76">
        <f t="shared" si="15"/>
        <v>0.5790651978561183</v>
      </c>
      <c r="AF8" s="22">
        <f>SUM(ПНД!L14)</f>
        <v>2705</v>
      </c>
      <c r="AG8" s="22"/>
      <c r="AH8" s="22"/>
      <c r="AI8" s="22">
        <f t="shared" si="1"/>
        <v>6.254279705201394</v>
      </c>
      <c r="AJ8" s="22">
        <f t="shared" si="16"/>
        <v>6.985811873182545</v>
      </c>
      <c r="AK8" s="22">
        <f t="shared" si="17"/>
        <v>30046.580976255504</v>
      </c>
      <c r="AL8" s="22">
        <f t="shared" si="18"/>
        <v>30046.580976255507</v>
      </c>
      <c r="AM8" s="76"/>
      <c r="AN8" s="22">
        <f t="shared" si="19"/>
        <v>3872.9885000000004</v>
      </c>
      <c r="AO8" s="126">
        <f t="shared" si="20"/>
        <v>33919.56947625551</v>
      </c>
      <c r="AQ8" s="64">
        <v>33801.2</v>
      </c>
      <c r="AR8" s="64">
        <v>33919.6</v>
      </c>
    </row>
    <row r="9" spans="1:44" s="70" customFormat="1" ht="18.75">
      <c r="A9" s="18" t="s">
        <v>14</v>
      </c>
      <c r="B9" s="125">
        <v>3250</v>
      </c>
      <c r="C9" s="125">
        <v>3250</v>
      </c>
      <c r="D9" s="125">
        <v>891</v>
      </c>
      <c r="E9" s="76">
        <f t="shared" si="2"/>
        <v>1.0996533063310152</v>
      </c>
      <c r="F9" s="68">
        <v>73.5</v>
      </c>
      <c r="G9" s="76">
        <f t="shared" si="3"/>
        <v>1.0188732744422293</v>
      </c>
      <c r="H9" s="69"/>
      <c r="I9" s="22"/>
      <c r="J9" s="76">
        <f t="shared" si="0"/>
        <v>0.9015384615384616</v>
      </c>
      <c r="K9" s="68"/>
      <c r="L9" s="68"/>
      <c r="M9" s="68"/>
      <c r="N9" s="72">
        <f t="shared" si="4"/>
        <v>0.9769214456708918</v>
      </c>
      <c r="O9" s="68">
        <v>265.46</v>
      </c>
      <c r="P9" s="68">
        <f t="shared" si="5"/>
        <v>862744.9999999999</v>
      </c>
      <c r="Q9" s="68">
        <v>3521.03</v>
      </c>
      <c r="R9" s="68">
        <f t="shared" si="6"/>
        <v>11443347.5</v>
      </c>
      <c r="S9" s="68">
        <v>7239.07</v>
      </c>
      <c r="T9" s="68">
        <f t="shared" si="7"/>
        <v>23526977.5</v>
      </c>
      <c r="U9" s="76">
        <f t="shared" si="8"/>
        <v>1.0695596412616468</v>
      </c>
      <c r="V9" s="76">
        <f t="shared" si="9"/>
        <v>1</v>
      </c>
      <c r="W9" s="76">
        <f t="shared" si="10"/>
        <v>1</v>
      </c>
      <c r="X9" s="22"/>
      <c r="Y9" s="22"/>
      <c r="Z9" s="76">
        <f t="shared" si="11"/>
        <v>1.004464624400346</v>
      </c>
      <c r="AA9" s="22">
        <f t="shared" si="12"/>
        <v>3189.169857231979</v>
      </c>
      <c r="AB9" s="76">
        <f t="shared" si="13"/>
        <v>0.9798301158094499</v>
      </c>
      <c r="AC9" s="22">
        <f>SUM(НПn2022!N9)</f>
        <v>4411.4544530262</v>
      </c>
      <c r="AD9" s="76">
        <f t="shared" si="14"/>
        <v>0.4749993442752256</v>
      </c>
      <c r="AE9" s="76">
        <f t="shared" si="15"/>
        <v>0.4847772451684879</v>
      </c>
      <c r="AF9" s="22">
        <f>SUM(ПНД!L12)</f>
        <v>4150</v>
      </c>
      <c r="AG9" s="22"/>
      <c r="AH9" s="22"/>
      <c r="AI9" s="22">
        <f t="shared" si="1"/>
        <v>6.254279705201394</v>
      </c>
      <c r="AJ9" s="22">
        <f t="shared" si="16"/>
        <v>6.989641731966316</v>
      </c>
      <c r="AK9" s="22">
        <f t="shared" si="17"/>
        <v>52502.25247311635</v>
      </c>
      <c r="AL9" s="22">
        <f t="shared" si="18"/>
        <v>52502.25247311636</v>
      </c>
      <c r="AM9" s="76"/>
      <c r="AN9" s="22">
        <f t="shared" si="19"/>
        <v>6691.766414141415</v>
      </c>
      <c r="AO9" s="126">
        <f t="shared" si="20"/>
        <v>59194.01888725777</v>
      </c>
      <c r="AQ9" s="64">
        <v>58990.6</v>
      </c>
      <c r="AR9" s="64">
        <v>59194</v>
      </c>
    </row>
    <row r="10" spans="1:44" s="70" customFormat="1" ht="18.75">
      <c r="A10" s="18" t="s">
        <v>7</v>
      </c>
      <c r="B10" s="125">
        <v>833</v>
      </c>
      <c r="C10" s="125">
        <v>833</v>
      </c>
      <c r="D10" s="125">
        <v>217</v>
      </c>
      <c r="E10" s="76">
        <f t="shared" si="2"/>
        <v>1.0878730360595112</v>
      </c>
      <c r="F10" s="68">
        <v>17.42</v>
      </c>
      <c r="G10" s="76">
        <f t="shared" si="3"/>
        <v>0.9421484582820363</v>
      </c>
      <c r="H10" s="69"/>
      <c r="I10" s="22"/>
      <c r="J10" s="76">
        <f t="shared" si="0"/>
        <v>1.1961584633853541</v>
      </c>
      <c r="K10" s="68"/>
      <c r="L10" s="68"/>
      <c r="M10" s="68"/>
      <c r="N10" s="72">
        <f t="shared" si="4"/>
        <v>1.150203292042228</v>
      </c>
      <c r="O10" s="68">
        <v>269.29</v>
      </c>
      <c r="P10" s="68">
        <f t="shared" si="5"/>
        <v>224318.57</v>
      </c>
      <c r="Q10" s="68">
        <v>4593.81</v>
      </c>
      <c r="R10" s="68">
        <f t="shared" si="6"/>
        <v>3826643.7300000004</v>
      </c>
      <c r="S10" s="68">
        <v>7239.07</v>
      </c>
      <c r="T10" s="68">
        <f t="shared" si="7"/>
        <v>6030145.31</v>
      </c>
      <c r="U10" s="76">
        <f t="shared" si="8"/>
        <v>1.2892977742676948</v>
      </c>
      <c r="V10" s="76">
        <f t="shared" si="9"/>
        <v>1</v>
      </c>
      <c r="W10" s="76">
        <f t="shared" si="10"/>
        <v>1</v>
      </c>
      <c r="X10" s="22"/>
      <c r="Y10" s="22"/>
      <c r="Z10" s="76">
        <f t="shared" si="11"/>
        <v>1.0185683232192504</v>
      </c>
      <c r="AA10" s="22">
        <f t="shared" si="12"/>
        <v>975.9100119010826</v>
      </c>
      <c r="AB10" s="76">
        <f t="shared" si="13"/>
        <v>1.1698259906035775</v>
      </c>
      <c r="AC10" s="22">
        <f>SUM(НПn2022!N10)</f>
        <v>1064.447415312407</v>
      </c>
      <c r="AD10" s="76">
        <f t="shared" si="14"/>
        <v>0.4471711554104823</v>
      </c>
      <c r="AE10" s="76">
        <f t="shared" si="15"/>
        <v>0.38225441989005743</v>
      </c>
      <c r="AF10" s="22">
        <f>SUM(ПНД!L10)</f>
        <v>3722.5</v>
      </c>
      <c r="AG10" s="22"/>
      <c r="AH10" s="22"/>
      <c r="AI10" s="22">
        <f t="shared" si="1"/>
        <v>6.254279705201394</v>
      </c>
      <c r="AJ10" s="22">
        <f t="shared" si="16"/>
        <v>6.870208796907746</v>
      </c>
      <c r="AK10" s="22">
        <f t="shared" si="17"/>
        <v>16351.575841546797</v>
      </c>
      <c r="AL10" s="22">
        <f t="shared" si="18"/>
        <v>16351.5758415468</v>
      </c>
      <c r="AM10" s="76"/>
      <c r="AN10" s="22">
        <f t="shared" si="19"/>
        <v>1715.1512070707074</v>
      </c>
      <c r="AO10" s="126">
        <f t="shared" si="20"/>
        <v>18066.727048617508</v>
      </c>
      <c r="AQ10" s="64">
        <v>18004.5</v>
      </c>
      <c r="AR10" s="64">
        <v>18066.7</v>
      </c>
    </row>
    <row r="11" spans="1:44" s="70" customFormat="1" ht="18.75">
      <c r="A11" s="18" t="s">
        <v>75</v>
      </c>
      <c r="B11" s="125">
        <v>977</v>
      </c>
      <c r="C11" s="125">
        <v>977</v>
      </c>
      <c r="D11" s="125">
        <v>338</v>
      </c>
      <c r="E11" s="76">
        <f t="shared" si="2"/>
        <v>1.1616227365934673</v>
      </c>
      <c r="F11" s="68">
        <v>17.62</v>
      </c>
      <c r="G11" s="76">
        <f t="shared" si="3"/>
        <v>0.8125077888153276</v>
      </c>
      <c r="H11" s="69"/>
      <c r="I11" s="22"/>
      <c r="J11" s="76">
        <f t="shared" si="0"/>
        <v>1.1377686796315252</v>
      </c>
      <c r="K11" s="68"/>
      <c r="L11" s="68"/>
      <c r="M11" s="68"/>
      <c r="N11" s="72">
        <f t="shared" si="4"/>
        <v>1.1383506745628977</v>
      </c>
      <c r="O11" s="68">
        <v>312.78</v>
      </c>
      <c r="P11" s="68">
        <f t="shared" si="5"/>
        <v>305586.06</v>
      </c>
      <c r="Q11" s="68">
        <v>5234.24</v>
      </c>
      <c r="R11" s="68">
        <f t="shared" si="6"/>
        <v>5113852.4799999995</v>
      </c>
      <c r="S11" s="68">
        <v>7239.07</v>
      </c>
      <c r="T11" s="68">
        <f t="shared" si="7"/>
        <v>7072571.39</v>
      </c>
      <c r="U11" s="76">
        <f t="shared" si="8"/>
        <v>1.4527940107624722</v>
      </c>
      <c r="V11" s="76">
        <f t="shared" si="9"/>
        <v>1</v>
      </c>
      <c r="W11" s="76">
        <f t="shared" si="10"/>
        <v>1</v>
      </c>
      <c r="X11" s="22"/>
      <c r="Y11" s="22"/>
      <c r="Z11" s="76">
        <f t="shared" si="11"/>
        <v>1.0290621853723578</v>
      </c>
      <c r="AA11" s="22">
        <f t="shared" si="12"/>
        <v>1144.49065932942</v>
      </c>
      <c r="AB11" s="76">
        <f t="shared" si="13"/>
        <v>1.169699173001045</v>
      </c>
      <c r="AC11" s="22">
        <f>SUM(НПn2022!N11)</f>
        <v>6048.519069183498</v>
      </c>
      <c r="AD11" s="76">
        <f t="shared" si="14"/>
        <v>2.166451953543639</v>
      </c>
      <c r="AE11" s="76">
        <f t="shared" si="15"/>
        <v>1.8521445543859536</v>
      </c>
      <c r="AF11" s="22">
        <f>SUM(ПНД!L15)</f>
        <v>5249.7</v>
      </c>
      <c r="AG11" s="22"/>
      <c r="AH11" s="22"/>
      <c r="AI11" s="22">
        <f t="shared" si="1"/>
        <v>6.254279705201394</v>
      </c>
      <c r="AJ11" s="22">
        <f t="shared" si="16"/>
        <v>6.8702755753175655</v>
      </c>
      <c r="AK11" s="22">
        <f t="shared" si="17"/>
        <v>14375.982879833951</v>
      </c>
      <c r="AL11" s="22">
        <f t="shared" si="18"/>
        <v>14375.982879833953</v>
      </c>
      <c r="AM11" s="76"/>
      <c r="AN11" s="22">
        <f t="shared" si="19"/>
        <v>2011.6479343434344</v>
      </c>
      <c r="AO11" s="126">
        <f t="shared" si="20"/>
        <v>16387.630814177388</v>
      </c>
      <c r="AQ11" s="64">
        <v>16314.6</v>
      </c>
      <c r="AR11" s="64">
        <v>16387.6</v>
      </c>
    </row>
    <row r="12" spans="1:44" s="70" customFormat="1" ht="18.75">
      <c r="A12" s="18" t="s">
        <v>9</v>
      </c>
      <c r="B12" s="125">
        <v>1233</v>
      </c>
      <c r="C12" s="125">
        <v>1233</v>
      </c>
      <c r="D12" s="125">
        <v>306</v>
      </c>
      <c r="E12" s="76">
        <f t="shared" si="2"/>
        <v>1.0772325260717759</v>
      </c>
      <c r="F12" s="68">
        <v>32.21</v>
      </c>
      <c r="G12" s="76">
        <f t="shared" si="3"/>
        <v>1.1769115927834735</v>
      </c>
      <c r="H12" s="69"/>
      <c r="I12" s="22"/>
      <c r="J12" s="76">
        <f t="shared" si="0"/>
        <v>1.067639902676399</v>
      </c>
      <c r="K12" s="68"/>
      <c r="L12" s="68"/>
      <c r="M12" s="68"/>
      <c r="N12" s="72">
        <f t="shared" si="4"/>
        <v>1.0738826586486354</v>
      </c>
      <c r="O12" s="68">
        <v>257.9</v>
      </c>
      <c r="P12" s="68">
        <f t="shared" si="5"/>
        <v>317990.69999999995</v>
      </c>
      <c r="Q12" s="68">
        <v>4593.82</v>
      </c>
      <c r="R12" s="68">
        <f t="shared" si="6"/>
        <v>5664180.06</v>
      </c>
      <c r="S12" s="68">
        <v>7239.07</v>
      </c>
      <c r="T12" s="68">
        <f t="shared" si="7"/>
        <v>8925773.31</v>
      </c>
      <c r="U12" s="76">
        <f t="shared" si="8"/>
        <v>1.2803664390512357</v>
      </c>
      <c r="V12" s="76">
        <f t="shared" si="9"/>
        <v>1</v>
      </c>
      <c r="W12" s="76">
        <f t="shared" si="10"/>
        <v>1</v>
      </c>
      <c r="X12" s="22"/>
      <c r="Y12" s="22"/>
      <c r="Z12" s="76">
        <f t="shared" si="11"/>
        <v>1.0179950733230199</v>
      </c>
      <c r="AA12" s="22">
        <f t="shared" si="12"/>
        <v>1347.9245464400385</v>
      </c>
      <c r="AB12" s="76">
        <f t="shared" si="13"/>
        <v>1.0915886202742513</v>
      </c>
      <c r="AC12" s="22">
        <f>SUM(НПn2022!N12)</f>
        <v>5629.246473685385</v>
      </c>
      <c r="AD12" s="76">
        <f t="shared" si="14"/>
        <v>1.5976504250811603</v>
      </c>
      <c r="AE12" s="76">
        <f t="shared" si="15"/>
        <v>1.4636012096569546</v>
      </c>
      <c r="AF12" s="22">
        <f>SUM(ПНД!L11)</f>
        <v>5576</v>
      </c>
      <c r="AG12" s="22"/>
      <c r="AH12" s="22"/>
      <c r="AI12" s="22">
        <f t="shared" si="1"/>
        <v>6.254279705201394</v>
      </c>
      <c r="AJ12" s="22">
        <f t="shared" si="16"/>
        <v>6.914354248362095</v>
      </c>
      <c r="AK12" s="22">
        <f t="shared" si="17"/>
        <v>18425.72269663865</v>
      </c>
      <c r="AL12" s="22">
        <f t="shared" si="18"/>
        <v>18425.722696638655</v>
      </c>
      <c r="AM12" s="76"/>
      <c r="AN12" s="22">
        <f t="shared" si="19"/>
        <v>2538.7532272727276</v>
      </c>
      <c r="AO12" s="126">
        <f t="shared" si="20"/>
        <v>20964.475923911385</v>
      </c>
      <c r="AQ12" s="64">
        <v>20878.5</v>
      </c>
      <c r="AR12" s="64">
        <v>20964.5</v>
      </c>
    </row>
    <row r="13" spans="1:44" s="70" customFormat="1" ht="18.75">
      <c r="A13" s="18" t="s">
        <v>10</v>
      </c>
      <c r="B13" s="125">
        <v>860</v>
      </c>
      <c r="C13" s="125">
        <v>860</v>
      </c>
      <c r="D13" s="125">
        <v>0</v>
      </c>
      <c r="E13" s="76">
        <f t="shared" si="2"/>
        <v>0.8630459419405456</v>
      </c>
      <c r="F13" s="68">
        <v>15.02</v>
      </c>
      <c r="G13" s="76">
        <f t="shared" si="3"/>
        <v>0.7868422542619431</v>
      </c>
      <c r="H13" s="69"/>
      <c r="I13" s="22"/>
      <c r="J13" s="76">
        <f t="shared" si="0"/>
        <v>1.1837209302325582</v>
      </c>
      <c r="K13" s="68"/>
      <c r="L13" s="68"/>
      <c r="M13" s="68"/>
      <c r="N13" s="72">
        <f t="shared" si="4"/>
        <v>1.0565237427504328</v>
      </c>
      <c r="O13" s="68">
        <v>246.85</v>
      </c>
      <c r="P13" s="68">
        <f t="shared" si="5"/>
        <v>212291</v>
      </c>
      <c r="Q13" s="68">
        <v>5356.92</v>
      </c>
      <c r="R13" s="68">
        <f t="shared" si="6"/>
        <v>4606951.2</v>
      </c>
      <c r="S13" s="68">
        <v>7239.07</v>
      </c>
      <c r="T13" s="68">
        <f t="shared" si="7"/>
        <v>6225600.2</v>
      </c>
      <c r="U13" s="76">
        <f t="shared" si="8"/>
        <v>1.425869171481216</v>
      </c>
      <c r="V13" s="76">
        <f t="shared" si="9"/>
        <v>1</v>
      </c>
      <c r="W13" s="76">
        <f t="shared" si="10"/>
        <v>1</v>
      </c>
      <c r="X13" s="22"/>
      <c r="Y13" s="22"/>
      <c r="Z13" s="76">
        <f t="shared" si="11"/>
        <v>1.0273340382420655</v>
      </c>
      <c r="AA13" s="22">
        <f t="shared" si="12"/>
        <v>933.446410699044</v>
      </c>
      <c r="AB13" s="76">
        <f t="shared" si="13"/>
        <v>1.083795723088827</v>
      </c>
      <c r="AC13" s="22">
        <f>SUM(НПn2022!N13)</f>
        <v>1004.8538793068255</v>
      </c>
      <c r="AD13" s="76">
        <f t="shared" si="14"/>
        <v>0.40888298048681687</v>
      </c>
      <c r="AE13" s="76">
        <f t="shared" si="15"/>
        <v>0.37726941689850635</v>
      </c>
      <c r="AF13" s="22">
        <f>SUM(ПНД!L8)</f>
        <v>1093</v>
      </c>
      <c r="AG13" s="22"/>
      <c r="AH13" s="22"/>
      <c r="AI13" s="22">
        <f t="shared" si="1"/>
        <v>6.254279705201394</v>
      </c>
      <c r="AJ13" s="22">
        <f t="shared" si="16"/>
        <v>6.919100431558784</v>
      </c>
      <c r="AK13" s="22">
        <f t="shared" si="17"/>
        <v>15653.366857764664</v>
      </c>
      <c r="AL13" s="22">
        <f t="shared" si="18"/>
        <v>15653.366857764668</v>
      </c>
      <c r="AM13" s="76"/>
      <c r="AN13" s="22">
        <f t="shared" si="19"/>
        <v>1770.7443434343434</v>
      </c>
      <c r="AO13" s="126">
        <f t="shared" si="20"/>
        <v>17424.11120119901</v>
      </c>
      <c r="AQ13" s="64">
        <v>17364.6</v>
      </c>
      <c r="AR13" s="64">
        <v>17424.1</v>
      </c>
    </row>
    <row r="14" spans="1:44" s="70" customFormat="1" ht="18.75">
      <c r="A14" s="18" t="s">
        <v>11</v>
      </c>
      <c r="B14" s="125">
        <v>302</v>
      </c>
      <c r="C14" s="125">
        <v>302</v>
      </c>
      <c r="D14" s="125">
        <v>302</v>
      </c>
      <c r="E14" s="76">
        <f t="shared" si="2"/>
        <v>1.7260918838810912</v>
      </c>
      <c r="F14" s="68">
        <v>6.82</v>
      </c>
      <c r="G14" s="76">
        <f t="shared" si="3"/>
        <v>1.0174044297883504</v>
      </c>
      <c r="H14" s="69"/>
      <c r="I14" s="22"/>
      <c r="J14" s="76">
        <f t="shared" si="0"/>
        <v>1.8927152317880793</v>
      </c>
      <c r="K14" s="68"/>
      <c r="L14" s="68"/>
      <c r="M14" s="68"/>
      <c r="N14" s="72">
        <f t="shared" si="4"/>
        <v>1.8098767227091956</v>
      </c>
      <c r="O14" s="68">
        <v>0</v>
      </c>
      <c r="P14" s="68">
        <f t="shared" si="5"/>
        <v>0</v>
      </c>
      <c r="Q14" s="68">
        <v>3816.54</v>
      </c>
      <c r="R14" s="68">
        <f t="shared" si="6"/>
        <v>1152595.08</v>
      </c>
      <c r="S14" s="68">
        <v>7239.07</v>
      </c>
      <c r="T14" s="68">
        <f t="shared" si="7"/>
        <v>2186199.14</v>
      </c>
      <c r="U14" s="76">
        <f>SUM(0.2*O14*B$15/P$15+0.65*Q14*B$15/R$15+0.15*S14*B$15/T$15)</f>
        <v>0.9210572147552765</v>
      </c>
      <c r="V14" s="76">
        <f t="shared" si="9"/>
        <v>1</v>
      </c>
      <c r="W14" s="76">
        <f t="shared" si="10"/>
        <v>1</v>
      </c>
      <c r="X14" s="22"/>
      <c r="Y14" s="22"/>
      <c r="Z14" s="76">
        <f t="shared" si="11"/>
        <v>0.9949331267550798</v>
      </c>
      <c r="AA14" s="22">
        <f t="shared" si="12"/>
        <v>543.8133046434216</v>
      </c>
      <c r="AB14" s="76">
        <f t="shared" si="13"/>
        <v>1.7980401268260766</v>
      </c>
      <c r="AC14" s="22">
        <f>SUM(НПn2022!N14)</f>
        <v>552.055140656481</v>
      </c>
      <c r="AD14" s="76">
        <f t="shared" si="14"/>
        <v>0.639690773562412</v>
      </c>
      <c r="AE14" s="76">
        <f t="shared" si="15"/>
        <v>0.3557711332569659</v>
      </c>
      <c r="AF14" s="22">
        <f>SUM(ПНД!L16)</f>
        <v>513.1</v>
      </c>
      <c r="AG14" s="22"/>
      <c r="AH14" s="22"/>
      <c r="AI14" s="22">
        <f t="shared" si="1"/>
        <v>6.254279705201394</v>
      </c>
      <c r="AJ14" s="22">
        <f t="shared" si="16"/>
        <v>6.655010394743255</v>
      </c>
      <c r="AK14" s="22">
        <f t="shared" si="17"/>
        <v>9152.799861916512</v>
      </c>
      <c r="AL14" s="22">
        <f t="shared" si="18"/>
        <v>9152.799861916514</v>
      </c>
      <c r="AM14" s="76"/>
      <c r="AN14" s="22">
        <f t="shared" si="19"/>
        <v>621.8195252525253</v>
      </c>
      <c r="AO14" s="126">
        <f t="shared" si="20"/>
        <v>9774.61938716904</v>
      </c>
      <c r="AQ14" s="64">
        <v>9739.9</v>
      </c>
      <c r="AR14" s="64">
        <v>9774.6</v>
      </c>
    </row>
    <row r="15" spans="1:44" s="73" customFormat="1" ht="18.75">
      <c r="A15" s="18" t="s">
        <v>12</v>
      </c>
      <c r="B15" s="71">
        <f>SUM(B3:B14)</f>
        <v>19800</v>
      </c>
      <c r="C15" s="71">
        <f>SUM(C3:C14)</f>
        <v>19800</v>
      </c>
      <c r="D15" s="71">
        <f>SUM(D3:D14)</f>
        <v>3142</v>
      </c>
      <c r="E15" s="77">
        <f t="shared" si="2"/>
        <v>1</v>
      </c>
      <c r="F15" s="72">
        <f>SUM(F3:F14)</f>
        <v>439.49</v>
      </c>
      <c r="G15" s="77">
        <f t="shared" si="3"/>
        <v>1</v>
      </c>
      <c r="H15" s="71">
        <f>B15/12</f>
        <v>1650</v>
      </c>
      <c r="I15" s="77">
        <v>0.8</v>
      </c>
      <c r="J15" s="77">
        <f t="shared" si="0"/>
        <v>0.8166666666666667</v>
      </c>
      <c r="K15" s="72">
        <f>SUM('а1 а2 а3'!O16)</f>
        <v>0.6092932063411978</v>
      </c>
      <c r="L15" s="72">
        <f>SUM('а1 а2 а3'!O31)</f>
        <v>0.025028854351819965</v>
      </c>
      <c r="M15" s="72">
        <f>SUM('а1 а2 а3'!O36)</f>
        <v>0.3656779393069823</v>
      </c>
      <c r="N15" s="72">
        <f>SUM(K$15*J15+L$15*G15+M$15*E15)</f>
        <v>0.8882962455041137</v>
      </c>
      <c r="O15" s="72"/>
      <c r="P15" s="72">
        <f>SUM(P3:P14)</f>
        <v>5048987.46</v>
      </c>
      <c r="Q15" s="72">
        <f>SUM(Q3:Q14)</f>
        <v>46017.55</v>
      </c>
      <c r="R15" s="72">
        <f>SUM(R3:R14)</f>
        <v>63703275.01</v>
      </c>
      <c r="S15" s="72"/>
      <c r="T15" s="72">
        <f>SUM(T3:T14)</f>
        <v>143333585.99999997</v>
      </c>
      <c r="U15" s="77"/>
      <c r="V15" s="77">
        <f t="shared" si="9"/>
        <v>1</v>
      </c>
      <c r="W15" s="77">
        <f t="shared" si="10"/>
        <v>1</v>
      </c>
      <c r="X15" s="72">
        <f>SUM('q1q2'!O30)</f>
        <v>0.4906603267348741</v>
      </c>
      <c r="Y15" s="72">
        <f>SUM('q1q2'!O31)</f>
        <v>0.06418412055278595</v>
      </c>
      <c r="Z15" s="77">
        <f t="shared" si="11"/>
        <v>0.935815879447214</v>
      </c>
      <c r="AA15" s="23">
        <f>SUM(AA3:AA14)</f>
        <v>19829.35994699381</v>
      </c>
      <c r="AB15" s="77">
        <f t="shared" si="13"/>
        <v>0.8300509114505172</v>
      </c>
      <c r="AC15" s="23">
        <f>SUM(AC3:AC14)</f>
        <v>56581.000000000015</v>
      </c>
      <c r="AD15" s="76">
        <f t="shared" si="14"/>
        <v>1</v>
      </c>
      <c r="AE15" s="76">
        <f t="shared" si="15"/>
        <v>1.2047453791147533</v>
      </c>
      <c r="AF15" s="23">
        <f>SUM(AF3:AF14)</f>
        <v>56580.99999999999</v>
      </c>
      <c r="AG15" s="23">
        <v>144739.8</v>
      </c>
      <c r="AH15" s="23">
        <v>297292.4</v>
      </c>
      <c r="AI15" s="23">
        <f t="shared" si="1"/>
        <v>6.254279705201394</v>
      </c>
      <c r="AJ15" s="23"/>
      <c r="AK15" s="23">
        <f>SUM(AK3:AK14)</f>
        <v>297292.39999999997</v>
      </c>
      <c r="AL15" s="23">
        <f>SUM(AL3:AL14)</f>
        <v>297292.4000000001</v>
      </c>
      <c r="AM15" s="23">
        <v>40768.3</v>
      </c>
      <c r="AN15" s="23">
        <f>SUM(AN3:AN14)</f>
        <v>40768.3</v>
      </c>
      <c r="AO15" s="128">
        <f>SUM(AO3:AO14)</f>
        <v>338060.7</v>
      </c>
      <c r="AQ15" s="130">
        <v>336795.89999999997</v>
      </c>
      <c r="AR15" s="130">
        <f>SUM(AR3:AR14)</f>
        <v>338060.69999999995</v>
      </c>
    </row>
    <row r="16" spans="43:44" ht="23.25" customHeight="1">
      <c r="AQ16" s="66">
        <v>336795.9</v>
      </c>
      <c r="AR16" s="66">
        <v>338060.7</v>
      </c>
    </row>
    <row r="17" ht="12.75">
      <c r="AH17" s="62"/>
    </row>
    <row r="18" ht="12.75">
      <c r="AH18" s="62"/>
    </row>
    <row r="19" spans="19:32" ht="12.75" customHeight="1">
      <c r="S19" s="143" t="s">
        <v>137</v>
      </c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</row>
    <row r="20" spans="19:32" ht="12.75" customHeight="1"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</row>
    <row r="21" spans="19:32" ht="12.75" customHeight="1"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</row>
  </sheetData>
  <sheetProtection/>
  <mergeCells count="2">
    <mergeCell ref="A1:AO1"/>
    <mergeCell ref="S19:AF21"/>
  </mergeCells>
  <printOptions/>
  <pageMargins left="0.35433070866141736" right="0.2755905511811024" top="0.7480314960629921" bottom="0.7480314960629921" header="0.31496062992125984" footer="0.31496062992125984"/>
  <pageSetup fitToHeight="2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1"/>
  <sheetViews>
    <sheetView zoomScaleSheetLayoutView="110" zoomScalePageLayoutView="0" workbookViewId="0" topLeftCell="A1">
      <pane xSplit="1" topLeftCell="AD1" activePane="topRight" state="frozen"/>
      <selection pane="topLeft" activeCell="A1" sqref="A1"/>
      <selection pane="topRight" activeCell="AQ1" sqref="AQ1:AR16384"/>
    </sheetView>
  </sheetViews>
  <sheetFormatPr defaultColWidth="9.140625" defaultRowHeight="15"/>
  <cols>
    <col min="1" max="1" width="26.28125" style="66" customWidth="1"/>
    <col min="2" max="3" width="11.7109375" style="66" customWidth="1"/>
    <col min="4" max="4" width="11.421875" style="66" customWidth="1"/>
    <col min="5" max="6" width="13.421875" style="66" customWidth="1"/>
    <col min="7" max="7" width="12.8515625" style="21" customWidth="1"/>
    <col min="8" max="8" width="11.7109375" style="21" customWidth="1"/>
    <col min="9" max="9" width="15.28125" style="21" customWidth="1"/>
    <col min="10" max="11" width="13.57421875" style="21" customWidth="1"/>
    <col min="12" max="12" width="14.8515625" style="21" customWidth="1"/>
    <col min="13" max="14" width="13.57421875" style="21" customWidth="1"/>
    <col min="15" max="16" width="15.28125" style="74" customWidth="1"/>
    <col min="17" max="18" width="14.140625" style="74" customWidth="1"/>
    <col min="19" max="20" width="15.28125" style="74" customWidth="1"/>
    <col min="21" max="32" width="11.7109375" style="21" customWidth="1"/>
    <col min="33" max="33" width="18.28125" style="21" customWidth="1"/>
    <col min="34" max="36" width="16.28125" style="21" customWidth="1"/>
    <col min="37" max="37" width="18.421875" style="21" customWidth="1"/>
    <col min="38" max="38" width="13.7109375" style="21" customWidth="1"/>
    <col min="39" max="39" width="17.7109375" style="21" customWidth="1"/>
    <col min="40" max="40" width="14.7109375" style="75" customWidth="1"/>
    <col min="41" max="41" width="14.57421875" style="75" customWidth="1"/>
    <col min="42" max="42" width="9.140625" style="66" customWidth="1"/>
    <col min="43" max="43" width="14.28125" style="66" hidden="1" customWidth="1"/>
    <col min="44" max="44" width="11.7109375" style="66" hidden="1" customWidth="1"/>
    <col min="45" max="16384" width="9.140625" style="66" customWidth="1"/>
  </cols>
  <sheetData>
    <row r="1" spans="1:41" ht="24.75" customHeight="1">
      <c r="A1" s="133" t="s">
        <v>149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</row>
    <row r="2" spans="1:41" s="67" customFormat="1" ht="285" customHeight="1">
      <c r="A2" s="63" t="s">
        <v>0</v>
      </c>
      <c r="B2" s="16" t="s">
        <v>132</v>
      </c>
      <c r="C2" s="16" t="s">
        <v>133</v>
      </c>
      <c r="D2" s="16" t="s">
        <v>15</v>
      </c>
      <c r="E2" s="8" t="s">
        <v>16</v>
      </c>
      <c r="F2" s="8" t="s">
        <v>54</v>
      </c>
      <c r="G2" s="8" t="s">
        <v>17</v>
      </c>
      <c r="H2" s="8" t="s">
        <v>18</v>
      </c>
      <c r="I2" s="8" t="s">
        <v>19</v>
      </c>
      <c r="J2" s="8" t="s">
        <v>20</v>
      </c>
      <c r="K2" s="17" t="s">
        <v>21</v>
      </c>
      <c r="L2" s="17" t="s">
        <v>22</v>
      </c>
      <c r="M2" s="17" t="s">
        <v>23</v>
      </c>
      <c r="N2" s="8" t="s">
        <v>33</v>
      </c>
      <c r="O2" s="9" t="s">
        <v>24</v>
      </c>
      <c r="P2" s="9" t="s">
        <v>117</v>
      </c>
      <c r="Q2" s="9" t="s">
        <v>26</v>
      </c>
      <c r="R2" s="9" t="s">
        <v>118</v>
      </c>
      <c r="S2" s="9" t="s">
        <v>25</v>
      </c>
      <c r="T2" s="9" t="s">
        <v>119</v>
      </c>
      <c r="U2" s="8" t="s">
        <v>27</v>
      </c>
      <c r="V2" s="8" t="s">
        <v>28</v>
      </c>
      <c r="W2" s="8" t="s">
        <v>29</v>
      </c>
      <c r="X2" s="8" t="s">
        <v>30</v>
      </c>
      <c r="Y2" s="8" t="s">
        <v>31</v>
      </c>
      <c r="Z2" s="8" t="s">
        <v>32</v>
      </c>
      <c r="AA2" s="14" t="s">
        <v>34</v>
      </c>
      <c r="AB2" s="14" t="s">
        <v>49</v>
      </c>
      <c r="AC2" s="8" t="s">
        <v>47</v>
      </c>
      <c r="AD2" s="14" t="s">
        <v>48</v>
      </c>
      <c r="AE2" s="8" t="s">
        <v>50</v>
      </c>
      <c r="AF2" s="14" t="s">
        <v>144</v>
      </c>
      <c r="AG2" s="8" t="s">
        <v>145</v>
      </c>
      <c r="AH2" s="8" t="s">
        <v>143</v>
      </c>
      <c r="AI2" s="8" t="s">
        <v>51</v>
      </c>
      <c r="AJ2" s="8" t="s">
        <v>139</v>
      </c>
      <c r="AK2" s="8" t="s">
        <v>52</v>
      </c>
      <c r="AL2" s="14" t="s">
        <v>142</v>
      </c>
      <c r="AM2" s="8" t="s">
        <v>140</v>
      </c>
      <c r="AN2" s="17" t="s">
        <v>141</v>
      </c>
      <c r="AO2" s="17" t="s">
        <v>53</v>
      </c>
    </row>
    <row r="3" spans="1:44" s="70" customFormat="1" ht="18.75">
      <c r="A3" s="18" t="s">
        <v>1</v>
      </c>
      <c r="B3" s="125">
        <v>4976</v>
      </c>
      <c r="C3" s="125">
        <v>4976</v>
      </c>
      <c r="D3" s="125">
        <v>396</v>
      </c>
      <c r="E3" s="76">
        <f>(1+D3/B3)/(1+D$15/B$15)</f>
        <v>0.9317288585419234</v>
      </c>
      <c r="F3" s="68">
        <v>136.06</v>
      </c>
      <c r="G3" s="76">
        <f>(F3/B3)/(F$15/B$15)</f>
        <v>1.2318739954283462</v>
      </c>
      <c r="H3" s="69"/>
      <c r="I3" s="22"/>
      <c r="J3" s="76">
        <f aca="true" t="shared" si="0" ref="J3:J15">SUM(I$15+(1-I$15)*H$15/B3)</f>
        <v>0.8663183279742765</v>
      </c>
      <c r="K3" s="68"/>
      <c r="L3" s="68"/>
      <c r="M3" s="68"/>
      <c r="N3" s="72">
        <f>SUM(K$15*J3+L$15*G3+M$15*E3)</f>
        <v>0.8993869555594203</v>
      </c>
      <c r="O3" s="68">
        <v>115.4</v>
      </c>
      <c r="P3" s="68">
        <f>SUM(O3*B3)</f>
        <v>574230.4</v>
      </c>
      <c r="Q3" s="68">
        <v>2197.12</v>
      </c>
      <c r="R3" s="68">
        <f>SUM(Q3*B3)</f>
        <v>10932869.12</v>
      </c>
      <c r="S3" s="68">
        <v>7528.64</v>
      </c>
      <c r="T3" s="68">
        <f>SUM(S3*B3)</f>
        <v>37462512.64</v>
      </c>
      <c r="U3" s="76">
        <f>SUM(0.2*O3*B$15/P$15+0.65*Q3*B$15/R$15+0.15*S3*B$15/T$15)</f>
        <v>0.6658251087090772</v>
      </c>
      <c r="V3" s="76">
        <f>SUM(C3/B3)</f>
        <v>1</v>
      </c>
      <c r="W3" s="76">
        <f>SUM((1+0.25*V3)/(1+0.25*V$15))</f>
        <v>1</v>
      </c>
      <c r="X3" s="22"/>
      <c r="Y3" s="22"/>
      <c r="Z3" s="76">
        <f>SUM(X$15*W3+Y$15*U3+1-X$15-Y$15)</f>
        <v>0.9785512784916692</v>
      </c>
      <c r="AA3" s="22">
        <f>SUM(Z3*N3*B3)</f>
        <v>4379.35896598169</v>
      </c>
      <c r="AB3" s="76">
        <f>SUM(Z3*N3*B$15/AA$15)</f>
        <v>0.8787931709378979</v>
      </c>
      <c r="AC3" s="22">
        <f>SUM(НПn2023!N3)</f>
        <v>21344.73974246632</v>
      </c>
      <c r="AD3" s="76">
        <f>(AC3/B3)/(AC$15/B$15)</f>
        <v>1.4978704084128251</v>
      </c>
      <c r="AE3" s="76">
        <f>SUM(AD3/AB3)</f>
        <v>1.7044629589169575</v>
      </c>
      <c r="AF3" s="22">
        <f>SUM(ПНД!M5)</f>
        <v>22780</v>
      </c>
      <c r="AG3" s="22"/>
      <c r="AH3" s="22"/>
      <c r="AI3" s="22">
        <f aca="true" t="shared" si="1" ref="AI3:AI14">SUM(AF$15+AH$15)/AF$15</f>
        <v>6.243030277378032</v>
      </c>
      <c r="AJ3" s="22">
        <f>SUM((AE3+AO3/((AF$15/B$15)*B3*AB3)))</f>
        <v>7.061183202481196</v>
      </c>
      <c r="AK3" s="22">
        <f>SUM(AF$15/B$15)*(AI$15-AE3)*AB3*B3</f>
        <v>56835.813127772795</v>
      </c>
      <c r="AL3" s="22">
        <f>SUM(AH$15*AK3/AK$15)</f>
        <v>56835.813127772795</v>
      </c>
      <c r="AM3" s="76"/>
      <c r="AN3" s="22">
        <f>SUM(AM$15*B3/B$15)</f>
        <v>10245.609131313133</v>
      </c>
      <c r="AO3" s="126">
        <f>SUM(AN3+AL3)</f>
        <v>67081.42225908593</v>
      </c>
      <c r="AQ3" s="64">
        <v>67081.4</v>
      </c>
      <c r="AR3" s="64">
        <v>67081.42225908593</v>
      </c>
    </row>
    <row r="4" spans="1:44" s="70" customFormat="1" ht="18.75">
      <c r="A4" s="18" t="s">
        <v>2</v>
      </c>
      <c r="B4" s="125">
        <v>2059</v>
      </c>
      <c r="C4" s="125">
        <v>2059</v>
      </c>
      <c r="D4" s="125">
        <v>0</v>
      </c>
      <c r="E4" s="76">
        <f aca="true" t="shared" si="2" ref="E4:E15">(1+D4/B4)/(1+D$15/B$15)</f>
        <v>0.8630459419405456</v>
      </c>
      <c r="F4" s="68">
        <v>28.97</v>
      </c>
      <c r="G4" s="76">
        <f aca="true" t="shared" si="3" ref="G4:G15">(F4/B4)/(F$15/B$15)</f>
        <v>0.6338818855459323</v>
      </c>
      <c r="H4" s="69"/>
      <c r="I4" s="22"/>
      <c r="J4" s="76">
        <f t="shared" si="0"/>
        <v>0.9602719766877125</v>
      </c>
      <c r="K4" s="68"/>
      <c r="L4" s="68"/>
      <c r="M4" s="68"/>
      <c r="N4" s="72">
        <f aca="true" t="shared" si="4" ref="N4:N14">SUM(K$15*J4+L$15*G4+M$15*E4)</f>
        <v>0.9165493906013147</v>
      </c>
      <c r="O4" s="68">
        <v>353.63</v>
      </c>
      <c r="P4" s="68">
        <f aca="true" t="shared" si="5" ref="P4:P14">SUM(O4*B4)</f>
        <v>728124.17</v>
      </c>
      <c r="Q4" s="68">
        <v>0</v>
      </c>
      <c r="R4" s="68">
        <f aca="true" t="shared" si="6" ref="R4:R14">SUM(Q4*B4)</f>
        <v>0</v>
      </c>
      <c r="S4" s="68">
        <v>7528.64</v>
      </c>
      <c r="T4" s="68">
        <f aca="true" t="shared" si="7" ref="T4:T14">SUM(S4*B4)</f>
        <v>15501469.76</v>
      </c>
      <c r="U4" s="76">
        <f aca="true" t="shared" si="8" ref="U4:U14">SUM(0.2*O4*B$15/P$15+0.65*Q4*B$15/R$15+0.15*S4*B$15/T$15)</f>
        <v>0.4177182875099608</v>
      </c>
      <c r="V4" s="76">
        <f aca="true" t="shared" si="9" ref="V4:V15">SUM(C4/B4)</f>
        <v>1</v>
      </c>
      <c r="W4" s="76">
        <f aca="true" t="shared" si="10" ref="W4:W15">SUM((1+0.25*V4)/(1+0.25*V$15))</f>
        <v>1</v>
      </c>
      <c r="X4" s="22"/>
      <c r="Y4" s="22"/>
      <c r="Z4" s="76">
        <f aca="true" t="shared" si="11" ref="Z4:Z15">SUM(X$15*W4+Y$15*U4+1-X$15-Y$15)</f>
        <v>0.9626267603698566</v>
      </c>
      <c r="AA4" s="22">
        <f aca="true" t="shared" si="12" ref="AA4:AA14">SUM(Z4*N4*B4)</f>
        <v>1816.6453444520366</v>
      </c>
      <c r="AB4" s="76">
        <f aca="true" t="shared" si="13" ref="AB4:AB15">SUM(Z4*N4*B$15/AA$15)</f>
        <v>0.8809886308576308</v>
      </c>
      <c r="AC4" s="22">
        <f>SUM(НПn2023!N4)</f>
        <v>2871.1068130563026</v>
      </c>
      <c r="AD4" s="76">
        <f aca="true" t="shared" si="14" ref="AD4:AD15">(AC4/B4)/(AC$15/B$15)</f>
        <v>0.48691903433726846</v>
      </c>
      <c r="AE4" s="76">
        <f aca="true" t="shared" si="15" ref="AE4:AE15">SUM(AD4/AB4)</f>
        <v>0.5526961612016028</v>
      </c>
      <c r="AF4" s="22">
        <f>SUM(ПНД!M6)</f>
        <v>3555</v>
      </c>
      <c r="AG4" s="22"/>
      <c r="AH4" s="22"/>
      <c r="AI4" s="22">
        <f t="shared" si="1"/>
        <v>6.243030277378032</v>
      </c>
      <c r="AJ4" s="22">
        <f aca="true" t="shared" si="16" ref="AJ4:AJ14">SUM((AE4+AO4/((AF$15/B$15)*B4*AB4)))</f>
        <v>7.0591443317258165</v>
      </c>
      <c r="AK4" s="22">
        <f aca="true" t="shared" si="17" ref="AK4:AK14">SUM(AF$15/B$15)*(AI$15-AE4)*AB4*B4</f>
        <v>29559.744026449876</v>
      </c>
      <c r="AL4" s="22">
        <f aca="true" t="shared" si="18" ref="AL4:AL14">SUM(AH$15*AK4/AK$15)</f>
        <v>29559.744026449873</v>
      </c>
      <c r="AM4" s="76"/>
      <c r="AN4" s="22">
        <f aca="true" t="shared" si="19" ref="AN4:AN14">SUM(AM$15*B4/B$15)</f>
        <v>4239.491398989899</v>
      </c>
      <c r="AO4" s="126">
        <f aca="true" t="shared" si="20" ref="AO4:AO14">SUM(AN4+AL4)</f>
        <v>33799.23542543977</v>
      </c>
      <c r="AQ4" s="64">
        <v>33799.2</v>
      </c>
      <c r="AR4" s="64">
        <v>33799.23542543977</v>
      </c>
    </row>
    <row r="5" spans="1:44" s="70" customFormat="1" ht="18.75">
      <c r="A5" s="18" t="s">
        <v>3</v>
      </c>
      <c r="B5" s="125">
        <v>1676</v>
      </c>
      <c r="C5" s="125">
        <v>1676</v>
      </c>
      <c r="D5" s="125">
        <v>73</v>
      </c>
      <c r="E5" s="76">
        <f t="shared" si="2"/>
        <v>0.9006368451396267</v>
      </c>
      <c r="F5" s="68">
        <v>37.22</v>
      </c>
      <c r="G5" s="76">
        <f t="shared" si="3"/>
        <v>1.0005033497548768</v>
      </c>
      <c r="H5" s="69"/>
      <c r="I5" s="22"/>
      <c r="J5" s="76">
        <f t="shared" si="0"/>
        <v>0.9968973747016706</v>
      </c>
      <c r="K5" s="68"/>
      <c r="L5" s="68"/>
      <c r="M5" s="68"/>
      <c r="N5" s="72">
        <f t="shared" si="4"/>
        <v>0.9617872760392265</v>
      </c>
      <c r="O5" s="68">
        <v>454.85</v>
      </c>
      <c r="P5" s="68">
        <f t="shared" si="5"/>
        <v>762328.6000000001</v>
      </c>
      <c r="Q5" s="68">
        <v>3426.9</v>
      </c>
      <c r="R5" s="68">
        <f t="shared" si="6"/>
        <v>5743484.4</v>
      </c>
      <c r="S5" s="68">
        <v>7528.64</v>
      </c>
      <c r="T5" s="68">
        <f t="shared" si="7"/>
        <v>12618000.64</v>
      </c>
      <c r="U5" s="76">
        <f t="shared" si="8"/>
        <v>1.1626278779574306</v>
      </c>
      <c r="V5" s="76">
        <f t="shared" si="9"/>
        <v>1</v>
      </c>
      <c r="W5" s="76">
        <f t="shared" si="10"/>
        <v>1</v>
      </c>
      <c r="X5" s="22"/>
      <c r="Y5" s="22"/>
      <c r="Z5" s="76">
        <f t="shared" si="11"/>
        <v>1.0104381273240632</v>
      </c>
      <c r="AA5" s="22">
        <f t="shared" si="12"/>
        <v>1628.781271126775</v>
      </c>
      <c r="AB5" s="76">
        <f t="shared" si="13"/>
        <v>0.9703876325157921</v>
      </c>
      <c r="AC5" s="22">
        <f>SUM(НПn2023!N5)</f>
        <v>6964.641051718837</v>
      </c>
      <c r="AD5" s="76">
        <f t="shared" si="14"/>
        <v>1.4510703661463231</v>
      </c>
      <c r="AE5" s="76">
        <f t="shared" si="15"/>
        <v>1.4953512570892213</v>
      </c>
      <c r="AF5" s="22">
        <f>SUM(ПНД!M7)</f>
        <v>4830</v>
      </c>
      <c r="AG5" s="22"/>
      <c r="AH5" s="22"/>
      <c r="AI5" s="22">
        <f t="shared" si="1"/>
        <v>6.243030277378032</v>
      </c>
      <c r="AJ5" s="22">
        <f t="shared" si="16"/>
        <v>6.9839581079394195</v>
      </c>
      <c r="AK5" s="22">
        <f t="shared" si="17"/>
        <v>22112.45020079908</v>
      </c>
      <c r="AL5" s="22">
        <f t="shared" si="18"/>
        <v>22112.45020079908</v>
      </c>
      <c r="AM5" s="76"/>
      <c r="AN5" s="22">
        <f t="shared" si="19"/>
        <v>3450.892464646465</v>
      </c>
      <c r="AO5" s="126">
        <f t="shared" si="20"/>
        <v>25563.342665445547</v>
      </c>
      <c r="AQ5" s="64">
        <v>25563.3</v>
      </c>
      <c r="AR5" s="64">
        <v>25563.342665445547</v>
      </c>
    </row>
    <row r="6" spans="1:44" s="70" customFormat="1" ht="18.75">
      <c r="A6" s="18" t="s">
        <v>4</v>
      </c>
      <c r="B6" s="125">
        <v>767</v>
      </c>
      <c r="C6" s="125">
        <v>767</v>
      </c>
      <c r="D6" s="125">
        <v>48</v>
      </c>
      <c r="E6" s="76">
        <f t="shared" si="2"/>
        <v>0.9170566397412577</v>
      </c>
      <c r="F6" s="68">
        <v>19.93</v>
      </c>
      <c r="G6" s="76">
        <f t="shared" si="3"/>
        <v>1.170652851356718</v>
      </c>
      <c r="H6" s="69"/>
      <c r="I6" s="22"/>
      <c r="J6" s="76">
        <f t="shared" si="0"/>
        <v>1.2302477183833116</v>
      </c>
      <c r="K6" s="68"/>
      <c r="L6" s="68"/>
      <c r="M6" s="68"/>
      <c r="N6" s="72">
        <f t="shared" si="4"/>
        <v>1.1142290588892296</v>
      </c>
      <c r="O6" s="68">
        <v>335.61</v>
      </c>
      <c r="P6" s="68">
        <f t="shared" si="5"/>
        <v>257412.87000000002</v>
      </c>
      <c r="Q6" s="68">
        <v>4416.18</v>
      </c>
      <c r="R6" s="68">
        <f t="shared" si="6"/>
        <v>3387210.06</v>
      </c>
      <c r="S6" s="68">
        <v>7528.64</v>
      </c>
      <c r="T6" s="68">
        <f t="shared" si="7"/>
        <v>5774466.88</v>
      </c>
      <c r="U6" s="76">
        <f t="shared" si="8"/>
        <v>1.2652759492434043</v>
      </c>
      <c r="V6" s="76">
        <f t="shared" si="9"/>
        <v>1</v>
      </c>
      <c r="W6" s="76">
        <f t="shared" si="10"/>
        <v>1</v>
      </c>
      <c r="X6" s="22"/>
      <c r="Y6" s="22"/>
      <c r="Z6" s="76">
        <f t="shared" si="11"/>
        <v>1.0170265035059933</v>
      </c>
      <c r="AA6" s="22">
        <f t="shared" si="12"/>
        <v>869.1647711259021</v>
      </c>
      <c r="AB6" s="76">
        <f t="shared" si="13"/>
        <v>1.1315226495029473</v>
      </c>
      <c r="AC6" s="22">
        <f>SUM(НПn2023!N6)</f>
        <v>1706.8271433921848</v>
      </c>
      <c r="AD6" s="76">
        <f t="shared" si="14"/>
        <v>0.7770660333099053</v>
      </c>
      <c r="AE6" s="76">
        <f t="shared" si="15"/>
        <v>0.6867436844072481</v>
      </c>
      <c r="AF6" s="22">
        <f>SUM(ПНД!M13)</f>
        <v>716</v>
      </c>
      <c r="AG6" s="22"/>
      <c r="AH6" s="22"/>
      <c r="AI6" s="22">
        <f t="shared" si="1"/>
        <v>6.243030277378032</v>
      </c>
      <c r="AJ6" s="22">
        <f t="shared" si="16"/>
        <v>6.878445930506462</v>
      </c>
      <c r="AK6" s="22">
        <f t="shared" si="17"/>
        <v>13809.54931028489</v>
      </c>
      <c r="AL6" s="22">
        <f t="shared" si="18"/>
        <v>13809.54931028489</v>
      </c>
      <c r="AM6" s="76"/>
      <c r="AN6" s="22">
        <f t="shared" si="19"/>
        <v>1579.2568737373738</v>
      </c>
      <c r="AO6" s="126">
        <f t="shared" si="20"/>
        <v>15388.806184022264</v>
      </c>
      <c r="AQ6" s="64">
        <v>15388.8</v>
      </c>
      <c r="AR6" s="64">
        <v>15388.806184022264</v>
      </c>
    </row>
    <row r="7" spans="1:44" s="70" customFormat="1" ht="18.75">
      <c r="A7" s="18" t="s">
        <v>76</v>
      </c>
      <c r="B7" s="125">
        <v>986</v>
      </c>
      <c r="C7" s="125">
        <v>986</v>
      </c>
      <c r="D7" s="125">
        <v>279</v>
      </c>
      <c r="E7" s="76">
        <f t="shared" si="2"/>
        <v>1.10725468210425</v>
      </c>
      <c r="F7" s="68">
        <v>23.77</v>
      </c>
      <c r="G7" s="76">
        <f t="shared" si="3"/>
        <v>1.0860966129051388</v>
      </c>
      <c r="H7" s="69"/>
      <c r="I7" s="22"/>
      <c r="J7" s="76">
        <f t="shared" si="0"/>
        <v>1.134685598377282</v>
      </c>
      <c r="K7" s="68"/>
      <c r="L7" s="68"/>
      <c r="M7" s="68"/>
      <c r="N7" s="72">
        <f t="shared" si="4"/>
        <v>1.1234385908007722</v>
      </c>
      <c r="O7" s="68">
        <v>389.69</v>
      </c>
      <c r="P7" s="68">
        <f t="shared" si="5"/>
        <v>384234.34</v>
      </c>
      <c r="Q7" s="68">
        <v>5549.77</v>
      </c>
      <c r="R7" s="68">
        <f t="shared" si="6"/>
        <v>5472073.220000001</v>
      </c>
      <c r="S7" s="68">
        <v>7528.64</v>
      </c>
      <c r="T7" s="68">
        <f t="shared" si="7"/>
        <v>7423239.04</v>
      </c>
      <c r="U7" s="76">
        <f t="shared" si="8"/>
        <v>1.5272791598870337</v>
      </c>
      <c r="V7" s="76">
        <f t="shared" si="9"/>
        <v>1</v>
      </c>
      <c r="W7" s="76">
        <f t="shared" si="10"/>
        <v>1</v>
      </c>
      <c r="X7" s="22"/>
      <c r="Y7" s="22"/>
      <c r="Z7" s="76">
        <f t="shared" si="11"/>
        <v>1.033842949163161</v>
      </c>
      <c r="AA7" s="22">
        <f t="shared" si="12"/>
        <v>1145.1986389943356</v>
      </c>
      <c r="AB7" s="76">
        <f t="shared" si="13"/>
        <v>1.1597393914545824</v>
      </c>
      <c r="AC7" s="22">
        <f>SUM(НПn2023!N7)</f>
        <v>1995.5227301114667</v>
      </c>
      <c r="AD7" s="76">
        <f t="shared" si="14"/>
        <v>0.7067137041848213</v>
      </c>
      <c r="AE7" s="76">
        <f t="shared" si="15"/>
        <v>0.6093728551363925</v>
      </c>
      <c r="AF7" s="22">
        <f>SUM(ПНД!M9)</f>
        <v>1815.7</v>
      </c>
      <c r="AG7" s="22"/>
      <c r="AH7" s="22"/>
      <c r="AI7" s="22">
        <f t="shared" si="1"/>
        <v>6.243030277378032</v>
      </c>
      <c r="AJ7" s="22">
        <f t="shared" si="16"/>
        <v>6.862986112853922</v>
      </c>
      <c r="AK7" s="22">
        <f t="shared" si="17"/>
        <v>18448.62524640699</v>
      </c>
      <c r="AL7" s="22">
        <f t="shared" si="18"/>
        <v>18448.62524640699</v>
      </c>
      <c r="AM7" s="76"/>
      <c r="AN7" s="22">
        <f t="shared" si="19"/>
        <v>2030.17897979798</v>
      </c>
      <c r="AO7" s="126">
        <f t="shared" si="20"/>
        <v>20478.80422620497</v>
      </c>
      <c r="AQ7" s="64">
        <v>20478.8</v>
      </c>
      <c r="AR7" s="64">
        <v>20478.80422620497</v>
      </c>
    </row>
    <row r="8" spans="1:44" s="70" customFormat="1" ht="18.75">
      <c r="A8" s="18" t="s">
        <v>6</v>
      </c>
      <c r="B8" s="125">
        <v>1881</v>
      </c>
      <c r="C8" s="125">
        <v>1881</v>
      </c>
      <c r="D8" s="125">
        <v>292</v>
      </c>
      <c r="E8" s="76">
        <f t="shared" si="2"/>
        <v>0.9970222391476904</v>
      </c>
      <c r="F8" s="68">
        <v>30.95</v>
      </c>
      <c r="G8" s="76">
        <f t="shared" si="3"/>
        <v>0.7412898443291326</v>
      </c>
      <c r="H8" s="69"/>
      <c r="I8" s="22"/>
      <c r="J8" s="76">
        <f t="shared" si="0"/>
        <v>0.9754385964912281</v>
      </c>
      <c r="K8" s="68"/>
      <c r="L8" s="68"/>
      <c r="M8" s="68"/>
      <c r="N8" s="72">
        <f t="shared" si="4"/>
        <v>0.9774707834460561</v>
      </c>
      <c r="O8" s="68">
        <v>282.98</v>
      </c>
      <c r="P8" s="68">
        <f t="shared" si="5"/>
        <v>532285.38</v>
      </c>
      <c r="Q8" s="68">
        <v>3991.66</v>
      </c>
      <c r="R8" s="68">
        <f t="shared" si="6"/>
        <v>7508312.46</v>
      </c>
      <c r="S8" s="68">
        <v>7528.64</v>
      </c>
      <c r="T8" s="68">
        <f t="shared" si="7"/>
        <v>14161371.84</v>
      </c>
      <c r="U8" s="76">
        <f t="shared" si="8"/>
        <v>1.1426463057095657</v>
      </c>
      <c r="V8" s="76">
        <f t="shared" si="9"/>
        <v>1</v>
      </c>
      <c r="W8" s="76">
        <f t="shared" si="10"/>
        <v>1</v>
      </c>
      <c r="X8" s="22"/>
      <c r="Y8" s="22"/>
      <c r="Z8" s="76">
        <f t="shared" si="11"/>
        <v>1.0091556276820721</v>
      </c>
      <c r="AA8" s="22">
        <f t="shared" si="12"/>
        <v>1855.4562871196656</v>
      </c>
      <c r="AB8" s="76">
        <f t="shared" si="13"/>
        <v>0.9849596329158041</v>
      </c>
      <c r="AC8" s="22">
        <f>SUM(НПn2023!N8)</f>
        <v>3073.1515408459168</v>
      </c>
      <c r="AD8" s="76">
        <f t="shared" si="14"/>
        <v>0.5705043100089547</v>
      </c>
      <c r="AE8" s="76">
        <f t="shared" si="15"/>
        <v>0.5792159302204848</v>
      </c>
      <c r="AF8" s="22">
        <f>SUM(ПНД!M14)</f>
        <v>2705</v>
      </c>
      <c r="AG8" s="22"/>
      <c r="AH8" s="22"/>
      <c r="AI8" s="22">
        <f>SUM(AF$15+AH$15)/AF$15</f>
        <v>6.243030277378032</v>
      </c>
      <c r="AJ8" s="22">
        <f t="shared" si="16"/>
        <v>6.972996439783173</v>
      </c>
      <c r="AK8" s="22">
        <f t="shared" si="17"/>
        <v>30050.55434405392</v>
      </c>
      <c r="AL8" s="22">
        <f t="shared" si="18"/>
        <v>30050.55434405392</v>
      </c>
      <c r="AM8" s="76"/>
      <c r="AN8" s="22">
        <f t="shared" si="19"/>
        <v>3872.9885000000004</v>
      </c>
      <c r="AO8" s="126">
        <f t="shared" si="20"/>
        <v>33923.54284405392</v>
      </c>
      <c r="AQ8" s="64">
        <v>33923.5</v>
      </c>
      <c r="AR8" s="64">
        <v>33923.54284405392</v>
      </c>
    </row>
    <row r="9" spans="1:44" s="70" customFormat="1" ht="18.75">
      <c r="A9" s="18" t="s">
        <v>14</v>
      </c>
      <c r="B9" s="125">
        <v>3250</v>
      </c>
      <c r="C9" s="125">
        <v>3250</v>
      </c>
      <c r="D9" s="125">
        <v>891</v>
      </c>
      <c r="E9" s="76">
        <f t="shared" si="2"/>
        <v>1.0996533063310152</v>
      </c>
      <c r="F9" s="68">
        <v>73.5</v>
      </c>
      <c r="G9" s="76">
        <f t="shared" si="3"/>
        <v>1.0188732744422293</v>
      </c>
      <c r="H9" s="69"/>
      <c r="I9" s="22"/>
      <c r="J9" s="76">
        <f t="shared" si="0"/>
        <v>0.9015384615384616</v>
      </c>
      <c r="K9" s="68"/>
      <c r="L9" s="68"/>
      <c r="M9" s="68"/>
      <c r="N9" s="72">
        <f t="shared" si="4"/>
        <v>0.9769214456708918</v>
      </c>
      <c r="O9" s="68">
        <v>275.02</v>
      </c>
      <c r="P9" s="68">
        <f t="shared" si="5"/>
        <v>893814.9999999999</v>
      </c>
      <c r="Q9" s="68">
        <v>3647.78</v>
      </c>
      <c r="R9" s="68">
        <f t="shared" si="6"/>
        <v>11855285</v>
      </c>
      <c r="S9" s="68">
        <v>7528.64</v>
      </c>
      <c r="T9" s="68">
        <f t="shared" si="7"/>
        <v>24468080</v>
      </c>
      <c r="U9" s="76">
        <f t="shared" si="8"/>
        <v>1.0695600431916734</v>
      </c>
      <c r="V9" s="76">
        <f t="shared" si="9"/>
        <v>1</v>
      </c>
      <c r="W9" s="76">
        <f t="shared" si="10"/>
        <v>1</v>
      </c>
      <c r="X9" s="22"/>
      <c r="Y9" s="22"/>
      <c r="Z9" s="76">
        <f t="shared" si="11"/>
        <v>1.0044646501978713</v>
      </c>
      <c r="AA9" s="22">
        <f t="shared" si="12"/>
        <v>3189.169939138986</v>
      </c>
      <c r="AB9" s="76">
        <f t="shared" si="13"/>
        <v>0.9798301551496803</v>
      </c>
      <c r="AC9" s="22">
        <f>SUM(НПn2023!N9)</f>
        <v>4420.952242593028</v>
      </c>
      <c r="AD9" s="76">
        <f t="shared" si="14"/>
        <v>0.4750028456445308</v>
      </c>
      <c r="AE9" s="76">
        <f t="shared" si="15"/>
        <v>0.4847807991497962</v>
      </c>
      <c r="AF9" s="22">
        <f>SUM(ПНД!M12)</f>
        <v>4150</v>
      </c>
      <c r="AG9" s="22"/>
      <c r="AH9" s="22"/>
      <c r="AI9" s="22">
        <f t="shared" si="1"/>
        <v>6.243030277378032</v>
      </c>
      <c r="AJ9" s="22">
        <f>SUM((AE9+AO9/((AF$15/B$15)*B9*AB9)))</f>
        <v>6.976817862486281</v>
      </c>
      <c r="AK9" s="22">
        <f t="shared" si="17"/>
        <v>52512.281816502196</v>
      </c>
      <c r="AL9" s="22">
        <f t="shared" si="18"/>
        <v>52512.281816502196</v>
      </c>
      <c r="AM9" s="76"/>
      <c r="AN9" s="22">
        <f t="shared" si="19"/>
        <v>6691.766414141415</v>
      </c>
      <c r="AO9" s="126">
        <f t="shared" si="20"/>
        <v>59204.04823064361</v>
      </c>
      <c r="AQ9" s="64">
        <v>59204</v>
      </c>
      <c r="AR9" s="64">
        <v>59204.04823064361</v>
      </c>
    </row>
    <row r="10" spans="1:44" s="70" customFormat="1" ht="18.75">
      <c r="A10" s="18" t="s">
        <v>7</v>
      </c>
      <c r="B10" s="125">
        <v>833</v>
      </c>
      <c r="C10" s="125">
        <v>833</v>
      </c>
      <c r="D10" s="125">
        <v>217</v>
      </c>
      <c r="E10" s="76">
        <f t="shared" si="2"/>
        <v>1.0878730360595112</v>
      </c>
      <c r="F10" s="68">
        <v>17.42</v>
      </c>
      <c r="G10" s="76">
        <f t="shared" si="3"/>
        <v>0.9421484582820363</v>
      </c>
      <c r="H10" s="69"/>
      <c r="I10" s="22"/>
      <c r="J10" s="76">
        <f t="shared" si="0"/>
        <v>1.1961584633853541</v>
      </c>
      <c r="K10" s="68"/>
      <c r="L10" s="68"/>
      <c r="M10" s="68"/>
      <c r="N10" s="72">
        <f t="shared" si="4"/>
        <v>1.150203292042228</v>
      </c>
      <c r="O10" s="68">
        <v>278.98</v>
      </c>
      <c r="P10" s="68">
        <f t="shared" si="5"/>
        <v>232390.34000000003</v>
      </c>
      <c r="Q10" s="68">
        <v>4759.19</v>
      </c>
      <c r="R10" s="68">
        <f t="shared" si="6"/>
        <v>3964405.2699999996</v>
      </c>
      <c r="S10" s="68">
        <v>7528.64</v>
      </c>
      <c r="T10" s="68">
        <f t="shared" si="7"/>
        <v>6271357.12</v>
      </c>
      <c r="U10" s="76">
        <f t="shared" si="8"/>
        <v>1.2892942010251076</v>
      </c>
      <c r="V10" s="76">
        <f t="shared" si="9"/>
        <v>1</v>
      </c>
      <c r="W10" s="76">
        <f t="shared" si="10"/>
        <v>1</v>
      </c>
      <c r="X10" s="22"/>
      <c r="Y10" s="22"/>
      <c r="Z10" s="76">
        <f t="shared" si="11"/>
        <v>1.0185680938738173</v>
      </c>
      <c r="AA10" s="22">
        <f t="shared" si="12"/>
        <v>975.9097921607872</v>
      </c>
      <c r="AB10" s="76">
        <f t="shared" si="13"/>
        <v>1.1698257441243782</v>
      </c>
      <c r="AC10" s="22">
        <f>SUM(НПn2023!N10)</f>
        <v>1067.0707138990438</v>
      </c>
      <c r="AD10" s="76">
        <f t="shared" si="14"/>
        <v>0.44731344106255605</v>
      </c>
      <c r="AE10" s="76">
        <f t="shared" si="15"/>
        <v>0.38237613021362676</v>
      </c>
      <c r="AF10" s="22">
        <f>SUM(ПНД!M10)</f>
        <v>3722.5</v>
      </c>
      <c r="AG10" s="22"/>
      <c r="AH10" s="22"/>
      <c r="AI10" s="22">
        <f t="shared" si="1"/>
        <v>6.243030277378032</v>
      </c>
      <c r="AJ10" s="22">
        <f t="shared" si="16"/>
        <v>6.85764079264045</v>
      </c>
      <c r="AK10" s="22">
        <f t="shared" si="17"/>
        <v>16354.923622550035</v>
      </c>
      <c r="AL10" s="22">
        <f t="shared" si="18"/>
        <v>16354.923622550035</v>
      </c>
      <c r="AM10" s="76"/>
      <c r="AN10" s="22">
        <f t="shared" si="19"/>
        <v>1715.1512070707074</v>
      </c>
      <c r="AO10" s="126">
        <f t="shared" si="20"/>
        <v>18070.074829620742</v>
      </c>
      <c r="AQ10" s="64">
        <v>18070.1</v>
      </c>
      <c r="AR10" s="64">
        <v>18070.074829620742</v>
      </c>
    </row>
    <row r="11" spans="1:44" s="70" customFormat="1" ht="18.75">
      <c r="A11" s="18" t="s">
        <v>75</v>
      </c>
      <c r="B11" s="125">
        <v>977</v>
      </c>
      <c r="C11" s="125">
        <v>977</v>
      </c>
      <c r="D11" s="125">
        <v>338</v>
      </c>
      <c r="E11" s="76">
        <f t="shared" si="2"/>
        <v>1.1616227365934673</v>
      </c>
      <c r="F11" s="68">
        <v>17.62</v>
      </c>
      <c r="G11" s="76">
        <f t="shared" si="3"/>
        <v>0.8125077888153276</v>
      </c>
      <c r="H11" s="69"/>
      <c r="I11" s="22"/>
      <c r="J11" s="76">
        <f t="shared" si="0"/>
        <v>1.1377686796315252</v>
      </c>
      <c r="K11" s="68"/>
      <c r="L11" s="68"/>
      <c r="M11" s="68"/>
      <c r="N11" s="72">
        <f t="shared" si="4"/>
        <v>1.1383506745628977</v>
      </c>
      <c r="O11" s="68">
        <v>324.04</v>
      </c>
      <c r="P11" s="68">
        <f t="shared" si="5"/>
        <v>316587.08</v>
      </c>
      <c r="Q11" s="68">
        <v>5422.68</v>
      </c>
      <c r="R11" s="68">
        <f t="shared" si="6"/>
        <v>5297958.36</v>
      </c>
      <c r="S11" s="68">
        <v>7528.64</v>
      </c>
      <c r="T11" s="68">
        <f t="shared" si="7"/>
        <v>7355481.28</v>
      </c>
      <c r="U11" s="76">
        <f t="shared" si="8"/>
        <v>1.4527944893406393</v>
      </c>
      <c r="V11" s="76">
        <f t="shared" si="9"/>
        <v>1</v>
      </c>
      <c r="W11" s="76">
        <f t="shared" si="10"/>
        <v>1</v>
      </c>
      <c r="X11" s="22"/>
      <c r="Y11" s="22"/>
      <c r="Z11" s="76">
        <f t="shared" si="11"/>
        <v>1.0290622160894767</v>
      </c>
      <c r="AA11" s="22">
        <f t="shared" si="12"/>
        <v>1144.4906934920355</v>
      </c>
      <c r="AB11" s="76">
        <f t="shared" si="13"/>
        <v>1.1696992248383864</v>
      </c>
      <c r="AC11" s="22">
        <f>SUM(НПn2023!N11)</f>
        <v>6054.491547525278</v>
      </c>
      <c r="AD11" s="76">
        <f t="shared" si="14"/>
        <v>2.163948209438587</v>
      </c>
      <c r="AE11" s="76">
        <f t="shared" si="15"/>
        <v>1.8500039698133277</v>
      </c>
      <c r="AF11" s="22">
        <f>SUM(ПНД!M15)</f>
        <v>5246.1</v>
      </c>
      <c r="AG11" s="22"/>
      <c r="AH11" s="22"/>
      <c r="AI11" s="22">
        <f t="shared" si="1"/>
        <v>6.243030277378032</v>
      </c>
      <c r="AJ11" s="22">
        <f t="shared" si="16"/>
        <v>6.857707271340191</v>
      </c>
      <c r="AK11" s="22">
        <f t="shared" si="17"/>
        <v>14377.018147636989</v>
      </c>
      <c r="AL11" s="22">
        <f t="shared" si="18"/>
        <v>14377.018147636989</v>
      </c>
      <c r="AM11" s="76"/>
      <c r="AN11" s="22">
        <f t="shared" si="19"/>
        <v>2011.6479343434344</v>
      </c>
      <c r="AO11" s="126">
        <f t="shared" si="20"/>
        <v>16388.666081980424</v>
      </c>
      <c r="AQ11" s="64">
        <v>16388.7</v>
      </c>
      <c r="AR11" s="64">
        <v>16388.666081980424</v>
      </c>
    </row>
    <row r="12" spans="1:44" s="70" customFormat="1" ht="18.75">
      <c r="A12" s="18" t="s">
        <v>9</v>
      </c>
      <c r="B12" s="125">
        <v>1233</v>
      </c>
      <c r="C12" s="125">
        <v>1233</v>
      </c>
      <c r="D12" s="125">
        <v>306</v>
      </c>
      <c r="E12" s="76">
        <f t="shared" si="2"/>
        <v>1.0772325260717759</v>
      </c>
      <c r="F12" s="68">
        <v>32.21</v>
      </c>
      <c r="G12" s="76">
        <f t="shared" si="3"/>
        <v>1.1769115927834735</v>
      </c>
      <c r="H12" s="69"/>
      <c r="I12" s="22"/>
      <c r="J12" s="76">
        <f t="shared" si="0"/>
        <v>1.067639902676399</v>
      </c>
      <c r="K12" s="68"/>
      <c r="L12" s="68"/>
      <c r="M12" s="68"/>
      <c r="N12" s="72">
        <f t="shared" si="4"/>
        <v>1.0738826586486354</v>
      </c>
      <c r="O12" s="68">
        <v>267.18</v>
      </c>
      <c r="P12" s="68">
        <f t="shared" si="5"/>
        <v>329432.94</v>
      </c>
      <c r="Q12" s="68">
        <v>4759.19</v>
      </c>
      <c r="R12" s="68">
        <f t="shared" si="6"/>
        <v>5868081.27</v>
      </c>
      <c r="S12" s="68">
        <v>7528.64</v>
      </c>
      <c r="T12" s="68">
        <f t="shared" si="7"/>
        <v>9282813.120000001</v>
      </c>
      <c r="U12" s="76">
        <f t="shared" si="8"/>
        <v>1.2803609210640818</v>
      </c>
      <c r="V12" s="76">
        <f t="shared" si="9"/>
        <v>1</v>
      </c>
      <c r="W12" s="76">
        <f t="shared" si="10"/>
        <v>1</v>
      </c>
      <c r="X12" s="22"/>
      <c r="Y12" s="22"/>
      <c r="Z12" s="76">
        <f t="shared" si="11"/>
        <v>1.017994719155867</v>
      </c>
      <c r="AA12" s="22">
        <f t="shared" si="12"/>
        <v>1347.9240774882614</v>
      </c>
      <c r="AB12" s="76">
        <f t="shared" si="13"/>
        <v>1.0915882562956367</v>
      </c>
      <c r="AC12" s="22">
        <f>SUM(НПn2023!N12)</f>
        <v>5643.116485503981</v>
      </c>
      <c r="AD12" s="76">
        <f t="shared" si="14"/>
        <v>1.598157905455714</v>
      </c>
      <c r="AE12" s="76">
        <f t="shared" si="15"/>
        <v>1.4640665985901575</v>
      </c>
      <c r="AF12" s="22">
        <f>SUM(ПНД!M11)</f>
        <v>5576</v>
      </c>
      <c r="AG12" s="22"/>
      <c r="AH12" s="22"/>
      <c r="AI12" s="22">
        <f t="shared" si="1"/>
        <v>6.243030277378032</v>
      </c>
      <c r="AJ12" s="22">
        <f t="shared" si="16"/>
        <v>6.901691818684319</v>
      </c>
      <c r="AK12" s="22">
        <f t="shared" si="17"/>
        <v>18420.096971928757</v>
      </c>
      <c r="AL12" s="22">
        <f t="shared" si="18"/>
        <v>18420.096971928757</v>
      </c>
      <c r="AM12" s="76"/>
      <c r="AN12" s="22">
        <f t="shared" si="19"/>
        <v>2538.7532272727276</v>
      </c>
      <c r="AO12" s="126">
        <f t="shared" si="20"/>
        <v>20958.850199201486</v>
      </c>
      <c r="AQ12" s="64">
        <v>20958.9</v>
      </c>
      <c r="AR12" s="64">
        <v>20958.850199201486</v>
      </c>
    </row>
    <row r="13" spans="1:44" s="70" customFormat="1" ht="18.75">
      <c r="A13" s="18" t="s">
        <v>10</v>
      </c>
      <c r="B13" s="125">
        <v>860</v>
      </c>
      <c r="C13" s="125">
        <v>860</v>
      </c>
      <c r="D13" s="125">
        <v>0</v>
      </c>
      <c r="E13" s="76">
        <f t="shared" si="2"/>
        <v>0.8630459419405456</v>
      </c>
      <c r="F13" s="68">
        <v>15.02</v>
      </c>
      <c r="G13" s="76">
        <f t="shared" si="3"/>
        <v>0.7868422542619431</v>
      </c>
      <c r="H13" s="69"/>
      <c r="I13" s="22"/>
      <c r="J13" s="76">
        <f t="shared" si="0"/>
        <v>1.1837209302325582</v>
      </c>
      <c r="K13" s="68"/>
      <c r="L13" s="68"/>
      <c r="M13" s="68"/>
      <c r="N13" s="72">
        <f t="shared" si="4"/>
        <v>1.0565237427504328</v>
      </c>
      <c r="O13" s="68">
        <v>255.74</v>
      </c>
      <c r="P13" s="68">
        <f t="shared" si="5"/>
        <v>219936.4</v>
      </c>
      <c r="Q13" s="68">
        <v>5549.77</v>
      </c>
      <c r="R13" s="68">
        <f t="shared" si="6"/>
        <v>4772802.2</v>
      </c>
      <c r="S13" s="68">
        <v>7528.64</v>
      </c>
      <c r="T13" s="68">
        <f t="shared" si="7"/>
        <v>6474630.4</v>
      </c>
      <c r="U13" s="76">
        <f t="shared" si="8"/>
        <v>1.4258712911769151</v>
      </c>
      <c r="V13" s="76">
        <f t="shared" si="9"/>
        <v>1</v>
      </c>
      <c r="W13" s="76">
        <f t="shared" si="10"/>
        <v>1</v>
      </c>
      <c r="X13" s="22"/>
      <c r="Y13" s="22"/>
      <c r="Z13" s="76">
        <f t="shared" si="11"/>
        <v>1.0273341742928697</v>
      </c>
      <c r="AA13" s="22">
        <f t="shared" si="12"/>
        <v>933.4465343162221</v>
      </c>
      <c r="AB13" s="76">
        <f t="shared" si="13"/>
        <v>1.083795882296386</v>
      </c>
      <c r="AC13" s="22">
        <f>SUM(НПn2023!N13)</f>
        <v>1007.324984212504</v>
      </c>
      <c r="AD13" s="76">
        <f t="shared" si="14"/>
        <v>0.40901092016054236</v>
      </c>
      <c r="AE13" s="76">
        <f t="shared" si="15"/>
        <v>0.37738740923605946</v>
      </c>
      <c r="AF13" s="22">
        <f>SUM(ПНД!M8)</f>
        <v>1093</v>
      </c>
      <c r="AG13" s="22"/>
      <c r="AH13" s="22"/>
      <c r="AI13" s="22">
        <f t="shared" si="1"/>
        <v>6.243030277378032</v>
      </c>
      <c r="AJ13" s="22">
        <f t="shared" si="16"/>
        <v>6.90642752321376</v>
      </c>
      <c r="AK13" s="22">
        <f t="shared" si="17"/>
        <v>15656.612978975687</v>
      </c>
      <c r="AL13" s="22">
        <f t="shared" si="18"/>
        <v>15656.612978975687</v>
      </c>
      <c r="AM13" s="76"/>
      <c r="AN13" s="22">
        <f t="shared" si="19"/>
        <v>1770.7443434343434</v>
      </c>
      <c r="AO13" s="126">
        <f t="shared" si="20"/>
        <v>17427.35732241003</v>
      </c>
      <c r="AQ13" s="64">
        <v>17427.4</v>
      </c>
      <c r="AR13" s="64">
        <v>17427.35732241003</v>
      </c>
    </row>
    <row r="14" spans="1:44" s="70" customFormat="1" ht="18.75">
      <c r="A14" s="18" t="s">
        <v>11</v>
      </c>
      <c r="B14" s="125">
        <v>302</v>
      </c>
      <c r="C14" s="125">
        <v>302</v>
      </c>
      <c r="D14" s="125">
        <v>302</v>
      </c>
      <c r="E14" s="76">
        <f t="shared" si="2"/>
        <v>1.7260918838810912</v>
      </c>
      <c r="F14" s="68">
        <v>6.82</v>
      </c>
      <c r="G14" s="76">
        <f t="shared" si="3"/>
        <v>1.0174044297883504</v>
      </c>
      <c r="H14" s="69"/>
      <c r="I14" s="22"/>
      <c r="J14" s="76">
        <f t="shared" si="0"/>
        <v>1.8927152317880793</v>
      </c>
      <c r="K14" s="68"/>
      <c r="L14" s="68"/>
      <c r="M14" s="68"/>
      <c r="N14" s="72">
        <f t="shared" si="4"/>
        <v>1.8098767227091956</v>
      </c>
      <c r="O14" s="68">
        <v>0</v>
      </c>
      <c r="P14" s="68">
        <f t="shared" si="5"/>
        <v>0</v>
      </c>
      <c r="Q14" s="68">
        <v>3953.94</v>
      </c>
      <c r="R14" s="68">
        <f t="shared" si="6"/>
        <v>1194089.8800000001</v>
      </c>
      <c r="S14" s="68">
        <v>7528.64</v>
      </c>
      <c r="T14" s="68">
        <f t="shared" si="7"/>
        <v>2273649.2800000003</v>
      </c>
      <c r="U14" s="76">
        <f t="shared" si="8"/>
        <v>0.9210583571826179</v>
      </c>
      <c r="V14" s="76">
        <f t="shared" si="9"/>
        <v>1</v>
      </c>
      <c r="W14" s="76">
        <f t="shared" si="10"/>
        <v>1</v>
      </c>
      <c r="X14" s="22"/>
      <c r="Y14" s="22"/>
      <c r="Z14" s="76">
        <f t="shared" si="11"/>
        <v>0.994933200080774</v>
      </c>
      <c r="AA14" s="22">
        <f t="shared" si="12"/>
        <v>543.8133447219826</v>
      </c>
      <c r="AB14" s="76">
        <f t="shared" si="13"/>
        <v>1.7980402853526398</v>
      </c>
      <c r="AC14" s="22">
        <f>SUM(НПn2023!N14)</f>
        <v>553.4550046751386</v>
      </c>
      <c r="AD14" s="76">
        <f t="shared" si="14"/>
        <v>0.6399398054239679</v>
      </c>
      <c r="AE14" s="76">
        <f t="shared" si="15"/>
        <v>0.35590960371528046</v>
      </c>
      <c r="AF14" s="22">
        <f>SUM(ПНД!M16)</f>
        <v>513.1</v>
      </c>
      <c r="AG14" s="22"/>
      <c r="AH14" s="22"/>
      <c r="AI14" s="22">
        <f t="shared" si="1"/>
        <v>6.243030277378032</v>
      </c>
      <c r="AJ14" s="22">
        <f t="shared" si="16"/>
        <v>6.642902966116214</v>
      </c>
      <c r="AK14" s="22">
        <f t="shared" si="17"/>
        <v>9154.730206638798</v>
      </c>
      <c r="AL14" s="22">
        <f t="shared" si="18"/>
        <v>9154.730206638798</v>
      </c>
      <c r="AM14" s="76"/>
      <c r="AN14" s="22">
        <f t="shared" si="19"/>
        <v>621.8195252525253</v>
      </c>
      <c r="AO14" s="126">
        <f t="shared" si="20"/>
        <v>9776.549731891324</v>
      </c>
      <c r="AQ14" s="64">
        <v>9776.6</v>
      </c>
      <c r="AR14" s="64">
        <v>9776.549731891324</v>
      </c>
    </row>
    <row r="15" spans="1:43" s="73" customFormat="1" ht="18.75">
      <c r="A15" s="18" t="s">
        <v>12</v>
      </c>
      <c r="B15" s="71">
        <f>SUM(B3:B14)</f>
        <v>19800</v>
      </c>
      <c r="C15" s="71">
        <f>SUM(C3:C14)</f>
        <v>19800</v>
      </c>
      <c r="D15" s="71">
        <f>SUM(D3:D14)</f>
        <v>3142</v>
      </c>
      <c r="E15" s="77">
        <f t="shared" si="2"/>
        <v>1</v>
      </c>
      <c r="F15" s="72">
        <f>SUM(F3:F14)</f>
        <v>439.49</v>
      </c>
      <c r="G15" s="77">
        <f t="shared" si="3"/>
        <v>1</v>
      </c>
      <c r="H15" s="71">
        <f>B15/12</f>
        <v>1650</v>
      </c>
      <c r="I15" s="77">
        <v>0.8</v>
      </c>
      <c r="J15" s="77">
        <f t="shared" si="0"/>
        <v>0.8166666666666667</v>
      </c>
      <c r="K15" s="72">
        <f>SUM('а1 а2 а3'!O16)</f>
        <v>0.6092932063411978</v>
      </c>
      <c r="L15" s="72">
        <f>SUM('а1 а2 а3'!O31)</f>
        <v>0.025028854351819965</v>
      </c>
      <c r="M15" s="72">
        <f>SUM('а1 а2 а3'!O36)</f>
        <v>0.3656779393069823</v>
      </c>
      <c r="N15" s="72">
        <f>SUM(K$15*J15+L$15*G15+M$15*E15)</f>
        <v>0.8882962455041137</v>
      </c>
      <c r="O15" s="72"/>
      <c r="P15" s="72">
        <f>SUM(P3:P14)</f>
        <v>5230777.5200000005</v>
      </c>
      <c r="Q15" s="72"/>
      <c r="R15" s="72">
        <f>SUM(R3:R14)</f>
        <v>65996571.24</v>
      </c>
      <c r="S15" s="72"/>
      <c r="T15" s="72">
        <f>SUM(T3:T14)</f>
        <v>149067072.00000003</v>
      </c>
      <c r="U15" s="77"/>
      <c r="V15" s="77">
        <f t="shared" si="9"/>
        <v>1</v>
      </c>
      <c r="W15" s="77">
        <f t="shared" si="10"/>
        <v>1</v>
      </c>
      <c r="X15" s="72">
        <f>SUM('q1q2'!O30)</f>
        <v>0.4906603267348741</v>
      </c>
      <c r="Y15" s="72">
        <f>SUM('q1q2'!O31)</f>
        <v>0.06418412055278595</v>
      </c>
      <c r="Z15" s="77">
        <f t="shared" si="11"/>
        <v>0.935815879447214</v>
      </c>
      <c r="AA15" s="23">
        <f>SUM(AA3:AA14)</f>
        <v>19829.359660118684</v>
      </c>
      <c r="AB15" s="77">
        <f t="shared" si="13"/>
        <v>0.830050923459022</v>
      </c>
      <c r="AC15" s="23">
        <f>SUM(AC3:AC14)</f>
        <v>56702.4</v>
      </c>
      <c r="AD15" s="76">
        <f t="shared" si="14"/>
        <v>1</v>
      </c>
      <c r="AE15" s="76">
        <f t="shared" si="15"/>
        <v>1.2047453616854726</v>
      </c>
      <c r="AF15" s="23">
        <f>SUM(AF3:AF14)</f>
        <v>56702.399999999994</v>
      </c>
      <c r="AG15" s="23">
        <v>144739.8</v>
      </c>
      <c r="AH15" s="23">
        <v>297292.4</v>
      </c>
      <c r="AI15" s="23">
        <f>SUM(AF$15+AH$15)/AF$15</f>
        <v>6.243030277378032</v>
      </c>
      <c r="AJ15" s="23"/>
      <c r="AK15" s="23">
        <f>SUM(AK3:AK14)</f>
        <v>297292.4</v>
      </c>
      <c r="AL15" s="23">
        <f>SUM(AL3:AL14)</f>
        <v>297292.4</v>
      </c>
      <c r="AM15" s="23">
        <v>40768.3</v>
      </c>
      <c r="AN15" s="23">
        <f>SUM(AN3:AN14)</f>
        <v>40768.3</v>
      </c>
      <c r="AO15" s="128">
        <f>SUM(AO3:AO14)</f>
        <v>338060.70000000007</v>
      </c>
      <c r="AQ15" s="130">
        <f>SUM(AQ3:AQ14)</f>
        <v>338060.7</v>
      </c>
    </row>
    <row r="16" ht="23.25" customHeight="1">
      <c r="AQ16" s="66">
        <v>338060.7</v>
      </c>
    </row>
    <row r="19" spans="21:31" ht="12.75">
      <c r="U19" s="134" t="s">
        <v>138</v>
      </c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</row>
    <row r="20" spans="21:31" ht="12.75"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</row>
    <row r="21" spans="21:31" ht="12.75"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</row>
  </sheetData>
  <sheetProtection/>
  <mergeCells count="2">
    <mergeCell ref="A1:AO1"/>
    <mergeCell ref="U19:AE21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49" r:id="rId1"/>
  <colBreaks count="1" manualBreakCount="1">
    <brk id="20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30" sqref="G30"/>
    </sheetView>
  </sheetViews>
  <sheetFormatPr defaultColWidth="9.140625" defaultRowHeight="15"/>
  <cols>
    <col min="1" max="1" width="24.7109375" style="2" bestFit="1" customWidth="1"/>
    <col min="2" max="2" width="10.140625" style="1" bestFit="1" customWidth="1"/>
    <col min="3" max="3" width="7.00390625" style="1" bestFit="1" customWidth="1"/>
    <col min="4" max="4" width="10.140625" style="1" bestFit="1" customWidth="1"/>
    <col min="5" max="5" width="9.28125" style="1" customWidth="1"/>
    <col min="6" max="8" width="14.140625" style="1" bestFit="1" customWidth="1"/>
    <col min="9" max="9" width="14.140625" style="1" customWidth="1"/>
    <col min="10" max="11" width="15.57421875" style="1" customWidth="1"/>
    <col min="12" max="13" width="15.57421875" style="1" bestFit="1" customWidth="1"/>
    <col min="14" max="14" width="9.00390625" style="1" bestFit="1" customWidth="1"/>
    <col min="15" max="15" width="9.140625" style="2" customWidth="1"/>
    <col min="16" max="16" width="11.00390625" style="26" bestFit="1" customWidth="1"/>
    <col min="17" max="16384" width="9.140625" style="2" customWidth="1"/>
  </cols>
  <sheetData>
    <row r="1" spans="1:16" s="15" customFormat="1" ht="24.75" customHeight="1">
      <c r="A1" s="135" t="s">
        <v>128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P1" s="26"/>
    </row>
    <row r="2" spans="1:16" s="7" customFormat="1" ht="51">
      <c r="A2" s="6" t="s">
        <v>0</v>
      </c>
      <c r="B2" s="106" t="s">
        <v>35</v>
      </c>
      <c r="C2" s="14" t="s">
        <v>36</v>
      </c>
      <c r="D2" s="106" t="s">
        <v>37</v>
      </c>
      <c r="E2" s="19" t="s">
        <v>38</v>
      </c>
      <c r="F2" s="106" t="s">
        <v>42</v>
      </c>
      <c r="G2" s="14" t="s">
        <v>39</v>
      </c>
      <c r="H2" s="106" t="s">
        <v>40</v>
      </c>
      <c r="I2" s="19" t="s">
        <v>41</v>
      </c>
      <c r="J2" s="106" t="s">
        <v>43</v>
      </c>
      <c r="K2" s="14" t="s">
        <v>44</v>
      </c>
      <c r="L2" s="106" t="s">
        <v>45</v>
      </c>
      <c r="M2" s="19" t="s">
        <v>46</v>
      </c>
      <c r="N2" s="20" t="s">
        <v>13</v>
      </c>
      <c r="P2" s="109"/>
    </row>
    <row r="3" spans="1:16" s="60" customFormat="1" ht="18.75">
      <c r="A3" s="18" t="s">
        <v>1</v>
      </c>
      <c r="B3" s="120">
        <v>199000</v>
      </c>
      <c r="C3" s="68">
        <v>0.1</v>
      </c>
      <c r="D3" s="120">
        <v>190291</v>
      </c>
      <c r="E3" s="54">
        <f>B$15*C$15*(D3/D$15)</f>
        <v>17697.909264363032</v>
      </c>
      <c r="F3" s="120">
        <v>590</v>
      </c>
      <c r="G3" s="22">
        <v>1</v>
      </c>
      <c r="H3" s="120">
        <v>1891</v>
      </c>
      <c r="I3" s="54">
        <f>F$15*G$15*(H3/H$15)</f>
        <v>603.0925558943089</v>
      </c>
      <c r="J3" s="120">
        <v>2090</v>
      </c>
      <c r="K3" s="22">
        <v>1</v>
      </c>
      <c r="L3" s="120">
        <v>2280</v>
      </c>
      <c r="M3" s="54">
        <f>J$15*K$15*(L3/L$15)</f>
        <v>2858.315789473684</v>
      </c>
      <c r="N3" s="59">
        <f>SUM(E3+I3+M3)</f>
        <v>21159.317609731024</v>
      </c>
      <c r="P3" s="110"/>
    </row>
    <row r="4" spans="1:16" s="60" customFormat="1" ht="18.75">
      <c r="A4" s="18" t="s">
        <v>2</v>
      </c>
      <c r="B4" s="120">
        <v>34500</v>
      </c>
      <c r="C4" s="68">
        <v>0.1</v>
      </c>
      <c r="D4" s="120">
        <v>29271.2</v>
      </c>
      <c r="E4" s="54">
        <f>B$15*C$15*(D4/D$15)</f>
        <v>2722.3517752233324</v>
      </c>
      <c r="F4" s="120">
        <v>47</v>
      </c>
      <c r="G4" s="22">
        <v>1</v>
      </c>
      <c r="H4" s="120">
        <v>165</v>
      </c>
      <c r="I4" s="54">
        <f aca="true" t="shared" si="0" ref="I4:I14">F$15*G$15*(H4/H$15)</f>
        <v>52.623094512195124</v>
      </c>
      <c r="J4" s="120">
        <v>55</v>
      </c>
      <c r="K4" s="22">
        <v>1</v>
      </c>
      <c r="L4" s="120">
        <v>54</v>
      </c>
      <c r="M4" s="54">
        <f aca="true" t="shared" si="1" ref="M4:M13">J$15*K$15*(L4/L$15)</f>
        <v>67.69695290858725</v>
      </c>
      <c r="N4" s="59">
        <f aca="true" t="shared" si="2" ref="N4:N14">SUM(E4+I4+M4)</f>
        <v>2842.671822644115</v>
      </c>
      <c r="P4" s="110"/>
    </row>
    <row r="5" spans="1:16" s="60" customFormat="1" ht="18.75">
      <c r="A5" s="3" t="s">
        <v>3</v>
      </c>
      <c r="B5" s="120">
        <v>36000</v>
      </c>
      <c r="C5" s="68">
        <v>0.1</v>
      </c>
      <c r="D5" s="120">
        <v>58916.2</v>
      </c>
      <c r="E5" s="54">
        <f aca="true" t="shared" si="3" ref="E5:E13">B$15*C$15*(D5/D$15)</f>
        <v>5479.468612814401</v>
      </c>
      <c r="F5" s="120">
        <v>90</v>
      </c>
      <c r="G5" s="22">
        <v>1</v>
      </c>
      <c r="H5" s="120">
        <v>179</v>
      </c>
      <c r="I5" s="54">
        <f t="shared" si="0"/>
        <v>57.088084349593494</v>
      </c>
      <c r="J5" s="120">
        <v>1040</v>
      </c>
      <c r="K5" s="22">
        <v>1</v>
      </c>
      <c r="L5" s="120">
        <v>1094</v>
      </c>
      <c r="M5" s="54">
        <f t="shared" si="1"/>
        <v>1371.4901200369343</v>
      </c>
      <c r="N5" s="59">
        <f t="shared" si="2"/>
        <v>6908.046817200929</v>
      </c>
      <c r="P5" s="110"/>
    </row>
    <row r="6" spans="1:16" s="60" customFormat="1" ht="18.75">
      <c r="A6" s="3" t="s">
        <v>4</v>
      </c>
      <c r="B6" s="120">
        <v>6000</v>
      </c>
      <c r="C6" s="68">
        <v>0.1</v>
      </c>
      <c r="D6" s="120">
        <v>17271.1</v>
      </c>
      <c r="E6" s="54">
        <f t="shared" si="3"/>
        <v>1606.2891082381211</v>
      </c>
      <c r="F6" s="120">
        <v>24</v>
      </c>
      <c r="G6" s="22">
        <v>1</v>
      </c>
      <c r="H6" s="120">
        <v>78</v>
      </c>
      <c r="I6" s="54">
        <f>F$15*G$15*(H6/H$15)</f>
        <v>24.87637195121951</v>
      </c>
      <c r="J6" s="120">
        <v>42</v>
      </c>
      <c r="K6" s="22">
        <v>1</v>
      </c>
      <c r="L6" s="120">
        <v>47</v>
      </c>
      <c r="M6" s="54">
        <f t="shared" si="1"/>
        <v>58.921421975992615</v>
      </c>
      <c r="N6" s="59">
        <f t="shared" si="2"/>
        <v>1690.0869021653332</v>
      </c>
      <c r="P6" s="110"/>
    </row>
    <row r="7" spans="1:16" s="60" customFormat="1" ht="18.75">
      <c r="A7" s="3" t="s">
        <v>5</v>
      </c>
      <c r="B7" s="120">
        <v>17600</v>
      </c>
      <c r="C7" s="68">
        <v>0.1</v>
      </c>
      <c r="D7" s="120">
        <v>19124.5</v>
      </c>
      <c r="E7" s="54">
        <f t="shared" si="3"/>
        <v>1778.6635507003</v>
      </c>
      <c r="F7" s="120">
        <v>23.7</v>
      </c>
      <c r="G7" s="22">
        <v>1</v>
      </c>
      <c r="H7" s="120">
        <v>189</v>
      </c>
      <c r="I7" s="54">
        <f t="shared" si="0"/>
        <v>60.277362804878045</v>
      </c>
      <c r="J7" s="120">
        <v>32</v>
      </c>
      <c r="K7" s="22">
        <v>1</v>
      </c>
      <c r="L7" s="120">
        <v>110</v>
      </c>
      <c r="M7" s="54">
        <f t="shared" si="1"/>
        <v>137.9012003693444</v>
      </c>
      <c r="N7" s="59">
        <f t="shared" si="2"/>
        <v>1976.8421138745225</v>
      </c>
      <c r="P7" s="110"/>
    </row>
    <row r="8" spans="1:16" s="60" customFormat="1" ht="18.75">
      <c r="A8" s="3" t="s">
        <v>6</v>
      </c>
      <c r="B8" s="120">
        <v>24000</v>
      </c>
      <c r="C8" s="68">
        <v>0.1</v>
      </c>
      <c r="D8" s="120">
        <v>29707.1</v>
      </c>
      <c r="E8" s="54">
        <f t="shared" si="3"/>
        <v>2762.8924137629156</v>
      </c>
      <c r="F8" s="120">
        <v>60</v>
      </c>
      <c r="G8" s="22">
        <v>1</v>
      </c>
      <c r="H8" s="120">
        <v>214</v>
      </c>
      <c r="I8" s="54">
        <f t="shared" si="0"/>
        <v>68.25055894308943</v>
      </c>
      <c r="J8" s="120">
        <v>145</v>
      </c>
      <c r="K8" s="22">
        <v>1</v>
      </c>
      <c r="L8" s="120">
        <v>170</v>
      </c>
      <c r="M8" s="54">
        <f t="shared" si="1"/>
        <v>213.12003693444137</v>
      </c>
      <c r="N8" s="59">
        <f t="shared" si="2"/>
        <v>3044.2630096404464</v>
      </c>
      <c r="P8" s="110"/>
    </row>
    <row r="9" spans="1:16" s="60" customFormat="1" ht="18.75">
      <c r="A9" s="3" t="s">
        <v>14</v>
      </c>
      <c r="B9" s="120">
        <v>36000</v>
      </c>
      <c r="C9" s="68">
        <v>0.1</v>
      </c>
      <c r="D9" s="120">
        <v>38248.6</v>
      </c>
      <c r="E9" s="54">
        <f t="shared" si="3"/>
        <v>3557.289899621715</v>
      </c>
      <c r="F9" s="120">
        <v>260</v>
      </c>
      <c r="G9" s="22">
        <v>1</v>
      </c>
      <c r="H9" s="120">
        <v>562</v>
      </c>
      <c r="I9" s="54">
        <f t="shared" si="0"/>
        <v>179.23744918699188</v>
      </c>
      <c r="J9" s="120">
        <v>190</v>
      </c>
      <c r="K9" s="22">
        <v>1</v>
      </c>
      <c r="L9" s="120">
        <v>516</v>
      </c>
      <c r="M9" s="54">
        <f t="shared" si="1"/>
        <v>646.8819944598338</v>
      </c>
      <c r="N9" s="59">
        <f t="shared" si="2"/>
        <v>4383.40934326854</v>
      </c>
      <c r="P9" s="110"/>
    </row>
    <row r="10" spans="1:16" s="60" customFormat="1" ht="18.75">
      <c r="A10" s="3" t="s">
        <v>7</v>
      </c>
      <c r="B10" s="120">
        <v>10500</v>
      </c>
      <c r="C10" s="68">
        <v>0.1</v>
      </c>
      <c r="D10" s="120">
        <v>10564.3</v>
      </c>
      <c r="E10" s="54">
        <f t="shared" si="3"/>
        <v>982.5268816786414</v>
      </c>
      <c r="F10" s="120">
        <v>9.5</v>
      </c>
      <c r="G10" s="22">
        <v>1</v>
      </c>
      <c r="H10" s="120">
        <v>189</v>
      </c>
      <c r="I10" s="54">
        <f t="shared" si="0"/>
        <v>60.277362804878045</v>
      </c>
      <c r="J10" s="120">
        <v>2713</v>
      </c>
      <c r="K10" s="22">
        <v>1</v>
      </c>
      <c r="L10" s="120">
        <v>11</v>
      </c>
      <c r="M10" s="54">
        <f t="shared" si="1"/>
        <v>13.79012003693444</v>
      </c>
      <c r="N10" s="59">
        <f t="shared" si="2"/>
        <v>1056.5943645204538</v>
      </c>
      <c r="P10" s="110"/>
    </row>
    <row r="11" spans="1:16" s="60" customFormat="1" ht="18.75">
      <c r="A11" s="3" t="s">
        <v>8</v>
      </c>
      <c r="B11" s="120">
        <v>23670</v>
      </c>
      <c r="C11" s="68">
        <v>0.1</v>
      </c>
      <c r="D11" s="120">
        <v>24051.8</v>
      </c>
      <c r="E11" s="54">
        <f>B$15*C$15*(D11/D$15)</f>
        <v>2236.924363446546</v>
      </c>
      <c r="F11" s="120">
        <v>23.3</v>
      </c>
      <c r="G11" s="22">
        <v>1</v>
      </c>
      <c r="H11" s="120">
        <v>69</v>
      </c>
      <c r="I11" s="54">
        <f t="shared" si="0"/>
        <v>22.006021341463416</v>
      </c>
      <c r="J11" s="120">
        <v>2884.8</v>
      </c>
      <c r="K11" s="22">
        <v>1</v>
      </c>
      <c r="L11" s="120">
        <v>3010</v>
      </c>
      <c r="M11" s="54">
        <f t="shared" si="1"/>
        <v>3773.4783010156966</v>
      </c>
      <c r="N11" s="59">
        <f t="shared" si="2"/>
        <v>6032.408685803706</v>
      </c>
      <c r="P11" s="110"/>
    </row>
    <row r="12" spans="1:16" s="60" customFormat="1" ht="18.75">
      <c r="A12" s="3" t="s">
        <v>9</v>
      </c>
      <c r="B12" s="120">
        <v>52600</v>
      </c>
      <c r="C12" s="68">
        <v>0.1</v>
      </c>
      <c r="D12" s="120">
        <v>55856</v>
      </c>
      <c r="E12" s="54">
        <f t="shared" si="3"/>
        <v>5194.856403457134</v>
      </c>
      <c r="F12" s="120">
        <v>49.8</v>
      </c>
      <c r="G12" s="22">
        <v>1</v>
      </c>
      <c r="H12" s="120">
        <v>261</v>
      </c>
      <c r="I12" s="54">
        <f t="shared" si="0"/>
        <v>83.24016768292682</v>
      </c>
      <c r="J12" s="120">
        <v>266.2</v>
      </c>
      <c r="K12" s="22">
        <v>1</v>
      </c>
      <c r="L12" s="120">
        <v>248</v>
      </c>
      <c r="M12" s="54">
        <f t="shared" si="1"/>
        <v>310.9045244690674</v>
      </c>
      <c r="N12" s="59">
        <f t="shared" si="2"/>
        <v>5589.001095609128</v>
      </c>
      <c r="P12" s="110"/>
    </row>
    <row r="13" spans="1:16" s="60" customFormat="1" ht="18.75">
      <c r="A13" s="3" t="s">
        <v>10</v>
      </c>
      <c r="B13" s="120">
        <v>9900</v>
      </c>
      <c r="C13" s="68">
        <v>0.1</v>
      </c>
      <c r="D13" s="120">
        <v>9951.4</v>
      </c>
      <c r="E13" s="54">
        <f t="shared" si="3"/>
        <v>925.5244559825859</v>
      </c>
      <c r="F13" s="120">
        <v>68</v>
      </c>
      <c r="G13" s="22">
        <v>1</v>
      </c>
      <c r="H13" s="120">
        <v>108</v>
      </c>
      <c r="I13" s="54">
        <f t="shared" si="0"/>
        <v>34.44420731707317</v>
      </c>
      <c r="J13" s="120">
        <v>35</v>
      </c>
      <c r="K13" s="22">
        <v>1</v>
      </c>
      <c r="L13" s="120">
        <v>30</v>
      </c>
      <c r="M13" s="54">
        <f t="shared" si="1"/>
        <v>37.609418282548475</v>
      </c>
      <c r="N13" s="59">
        <f>SUM(E13+I13+M13)</f>
        <v>997.5780815822076</v>
      </c>
      <c r="P13" s="110"/>
    </row>
    <row r="14" spans="1:16" s="60" customFormat="1" ht="18.75">
      <c r="A14" s="3" t="s">
        <v>11</v>
      </c>
      <c r="B14" s="120">
        <v>4920</v>
      </c>
      <c r="C14" s="68">
        <v>0.1</v>
      </c>
      <c r="D14" s="120">
        <v>5637.4</v>
      </c>
      <c r="E14" s="54">
        <f>B$15*C$15*(D14/D$15)</f>
        <v>524.3032707112798</v>
      </c>
      <c r="F14" s="120">
        <v>10</v>
      </c>
      <c r="G14" s="22">
        <v>1</v>
      </c>
      <c r="H14" s="120">
        <v>31</v>
      </c>
      <c r="I14" s="54">
        <f t="shared" si="0"/>
        <v>9.886763211382112</v>
      </c>
      <c r="J14" s="120">
        <v>10.9</v>
      </c>
      <c r="K14" s="22">
        <v>1</v>
      </c>
      <c r="L14" s="120">
        <v>11</v>
      </c>
      <c r="M14" s="54">
        <f>J$15*K$15*(L14/L$15)</f>
        <v>13.79012003693444</v>
      </c>
      <c r="N14" s="59">
        <f t="shared" si="2"/>
        <v>547.9801539595964</v>
      </c>
      <c r="P14" s="110"/>
    </row>
    <row r="15" spans="1:16" s="5" customFormat="1" ht="18.75">
      <c r="A15" s="3" t="s">
        <v>12</v>
      </c>
      <c r="B15" s="107">
        <f>SUM(B3:B14)</f>
        <v>454690</v>
      </c>
      <c r="C15" s="72">
        <v>0.1</v>
      </c>
      <c r="D15" s="107">
        <f>SUM(D3:D14)</f>
        <v>488890.6</v>
      </c>
      <c r="E15" s="24"/>
      <c r="F15" s="107">
        <f>SUM(F3:F14)</f>
        <v>1255.3</v>
      </c>
      <c r="G15" s="23">
        <v>1</v>
      </c>
      <c r="H15" s="107">
        <f>SUM(H3:H14)</f>
        <v>3936</v>
      </c>
      <c r="I15" s="24"/>
      <c r="J15" s="107">
        <f>SUM(J3:J14)</f>
        <v>9503.9</v>
      </c>
      <c r="K15" s="23">
        <v>1</v>
      </c>
      <c r="L15" s="107">
        <f>SUM(L3:L14)</f>
        <v>7581</v>
      </c>
      <c r="M15" s="24"/>
      <c r="N15" s="78">
        <f>SUM(N3:N14)</f>
        <v>56228.2</v>
      </c>
      <c r="P15" s="111"/>
    </row>
    <row r="16" spans="2:16" s="15" customFormat="1" ht="23.25" customHeight="1"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P16" s="26"/>
    </row>
    <row r="17" spans="4:12" ht="12.75">
      <c r="D17" s="129"/>
      <c r="E17" s="129"/>
      <c r="F17" s="129"/>
      <c r="G17" s="129"/>
      <c r="H17" s="129"/>
      <c r="I17" s="129"/>
      <c r="J17" s="129"/>
      <c r="K17" s="129"/>
      <c r="L17" s="129"/>
    </row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7" sqref="D17:M18"/>
    </sheetView>
  </sheetViews>
  <sheetFormatPr defaultColWidth="9.140625" defaultRowHeight="15"/>
  <cols>
    <col min="1" max="1" width="24.7109375" style="2" bestFit="1" customWidth="1"/>
    <col min="2" max="2" width="10.140625" style="1" bestFit="1" customWidth="1"/>
    <col min="3" max="3" width="7.00390625" style="1" bestFit="1" customWidth="1"/>
    <col min="4" max="4" width="10.140625" style="1" bestFit="1" customWidth="1"/>
    <col min="5" max="5" width="9.00390625" style="1" bestFit="1" customWidth="1"/>
    <col min="6" max="9" width="14.140625" style="1" bestFit="1" customWidth="1"/>
    <col min="10" max="13" width="15.57421875" style="1" bestFit="1" customWidth="1"/>
    <col min="14" max="14" width="9.00390625" style="1" bestFit="1" customWidth="1"/>
    <col min="15" max="15" width="9.140625" style="2" customWidth="1"/>
    <col min="16" max="16" width="11.00390625" style="10" bestFit="1" customWidth="1"/>
    <col min="17" max="16384" width="9.140625" style="2" customWidth="1"/>
  </cols>
  <sheetData>
    <row r="1" spans="1:14" ht="24.75" customHeight="1">
      <c r="A1" s="135" t="s">
        <v>135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6" s="7" customFormat="1" ht="51">
      <c r="A2" s="6" t="s">
        <v>0</v>
      </c>
      <c r="B2" s="106" t="s">
        <v>35</v>
      </c>
      <c r="C2" s="14" t="s">
        <v>36</v>
      </c>
      <c r="D2" s="106" t="s">
        <v>37</v>
      </c>
      <c r="E2" s="19" t="s">
        <v>38</v>
      </c>
      <c r="F2" s="106" t="s">
        <v>42</v>
      </c>
      <c r="G2" s="14" t="s">
        <v>39</v>
      </c>
      <c r="H2" s="106" t="s">
        <v>40</v>
      </c>
      <c r="I2" s="19" t="s">
        <v>41</v>
      </c>
      <c r="J2" s="106" t="s">
        <v>43</v>
      </c>
      <c r="K2" s="14" t="s">
        <v>44</v>
      </c>
      <c r="L2" s="106" t="s">
        <v>45</v>
      </c>
      <c r="M2" s="19" t="s">
        <v>46</v>
      </c>
      <c r="N2" s="20" t="s">
        <v>13</v>
      </c>
      <c r="P2" s="11"/>
    </row>
    <row r="3" spans="1:16" s="60" customFormat="1" ht="18.75">
      <c r="A3" s="3" t="s">
        <v>1</v>
      </c>
      <c r="B3" s="120">
        <v>200000</v>
      </c>
      <c r="C3" s="68">
        <v>0.1</v>
      </c>
      <c r="D3" s="120">
        <v>190291</v>
      </c>
      <c r="E3" s="54">
        <f>B$15*C$15*(D3/D$15)</f>
        <v>17833.906306237022</v>
      </c>
      <c r="F3" s="120">
        <v>590</v>
      </c>
      <c r="G3" s="22">
        <v>1</v>
      </c>
      <c r="H3" s="120">
        <v>1891</v>
      </c>
      <c r="I3" s="54">
        <f>F$15*G$15*(H3/H$15)</f>
        <v>606.1673526422765</v>
      </c>
      <c r="J3" s="120">
        <v>2090</v>
      </c>
      <c r="K3" s="22">
        <v>1</v>
      </c>
      <c r="L3" s="120">
        <v>2280</v>
      </c>
      <c r="M3" s="54">
        <f>J$15*K$15*(L3/L$15)</f>
        <v>2857.413533834587</v>
      </c>
      <c r="N3" s="59">
        <f>SUM(E3+I3+M3)</f>
        <v>21297.48719271389</v>
      </c>
      <c r="P3" s="61"/>
    </row>
    <row r="4" spans="1:16" s="60" customFormat="1" ht="18.75">
      <c r="A4" s="3" t="s">
        <v>2</v>
      </c>
      <c r="B4" s="120">
        <v>34500</v>
      </c>
      <c r="C4" s="68">
        <v>0.1</v>
      </c>
      <c r="D4" s="120">
        <v>29271.2</v>
      </c>
      <c r="E4" s="54">
        <f aca="true" t="shared" si="0" ref="E4:E14">B$15*C$15*(D4/D$15)</f>
        <v>2743.2712964413718</v>
      </c>
      <c r="F4" s="120">
        <v>50</v>
      </c>
      <c r="G4" s="22">
        <v>1</v>
      </c>
      <c r="H4" s="120">
        <v>165</v>
      </c>
      <c r="I4" s="54">
        <f aca="true" t="shared" si="1" ref="I4:I14">F$15*G$15*(H4/H$15)</f>
        <v>52.89138719512196</v>
      </c>
      <c r="J4" s="120">
        <v>55</v>
      </c>
      <c r="K4" s="22">
        <v>1</v>
      </c>
      <c r="L4" s="120">
        <v>54</v>
      </c>
      <c r="M4" s="54">
        <f aca="true" t="shared" si="2" ref="M4:M14">J$15*K$15*(L4/L$15)</f>
        <v>67.67558369608233</v>
      </c>
      <c r="N4" s="59">
        <f>SUM(E4+I4+M4)</f>
        <v>2863.838267332576</v>
      </c>
      <c r="P4" s="61"/>
    </row>
    <row r="5" spans="1:16" s="60" customFormat="1" ht="18.75">
      <c r="A5" s="3" t="s">
        <v>3</v>
      </c>
      <c r="B5" s="120">
        <v>37000</v>
      </c>
      <c r="C5" s="68">
        <v>0.1</v>
      </c>
      <c r="D5" s="120">
        <v>58916.2</v>
      </c>
      <c r="E5" s="54">
        <f t="shared" si="0"/>
        <v>5521.574802379101</v>
      </c>
      <c r="F5" s="120">
        <v>90</v>
      </c>
      <c r="G5" s="22">
        <v>1</v>
      </c>
      <c r="H5" s="120">
        <v>179</v>
      </c>
      <c r="I5" s="54">
        <f t="shared" si="1"/>
        <v>57.379141260162605</v>
      </c>
      <c r="J5" s="120">
        <v>1040</v>
      </c>
      <c r="K5" s="22">
        <v>1</v>
      </c>
      <c r="L5" s="120">
        <v>1094</v>
      </c>
      <c r="M5" s="54">
        <f t="shared" si="2"/>
        <v>1371.0571956206306</v>
      </c>
      <c r="N5" s="59">
        <f aca="true" t="shared" si="3" ref="N5:N14">SUM(E5+I5+M5)</f>
        <v>6950.011139259894</v>
      </c>
      <c r="P5" s="61"/>
    </row>
    <row r="6" spans="1:16" s="60" customFormat="1" ht="18.75">
      <c r="A6" s="3" t="s">
        <v>4</v>
      </c>
      <c r="B6" s="120">
        <v>6250</v>
      </c>
      <c r="C6" s="68">
        <v>0.1</v>
      </c>
      <c r="D6" s="120">
        <v>17271.1</v>
      </c>
      <c r="E6" s="54">
        <f t="shared" si="0"/>
        <v>1618.6324061865782</v>
      </c>
      <c r="F6" s="120">
        <v>24</v>
      </c>
      <c r="G6" s="22">
        <v>1</v>
      </c>
      <c r="H6" s="120">
        <v>78</v>
      </c>
      <c r="I6" s="54">
        <f t="shared" si="1"/>
        <v>25.003201219512196</v>
      </c>
      <c r="J6" s="120">
        <v>42</v>
      </c>
      <c r="K6" s="22">
        <v>1</v>
      </c>
      <c r="L6" s="120">
        <v>47</v>
      </c>
      <c r="M6" s="54">
        <f t="shared" si="2"/>
        <v>58.90282284659017</v>
      </c>
      <c r="N6" s="59">
        <f t="shared" si="3"/>
        <v>1702.5384302526807</v>
      </c>
      <c r="P6" s="61"/>
    </row>
    <row r="7" spans="1:16" s="60" customFormat="1" ht="18.75">
      <c r="A7" s="3" t="s">
        <v>5</v>
      </c>
      <c r="B7" s="120">
        <v>17600</v>
      </c>
      <c r="C7" s="68">
        <v>0.1</v>
      </c>
      <c r="D7" s="120">
        <v>19124.5</v>
      </c>
      <c r="E7" s="54">
        <f t="shared" si="0"/>
        <v>1792.3314352945222</v>
      </c>
      <c r="F7" s="120">
        <v>23.7</v>
      </c>
      <c r="G7" s="22">
        <v>1</v>
      </c>
      <c r="H7" s="120">
        <v>189</v>
      </c>
      <c r="I7" s="54">
        <f t="shared" si="1"/>
        <v>60.58467987804878</v>
      </c>
      <c r="J7" s="120">
        <v>32</v>
      </c>
      <c r="K7" s="22">
        <v>1</v>
      </c>
      <c r="L7" s="120">
        <v>110</v>
      </c>
      <c r="M7" s="54">
        <f t="shared" si="2"/>
        <v>137.85767049201954</v>
      </c>
      <c r="N7" s="59">
        <f t="shared" si="3"/>
        <v>1990.7737856645904</v>
      </c>
      <c r="P7" s="61"/>
    </row>
    <row r="8" spans="1:16" s="60" customFormat="1" ht="18.75">
      <c r="A8" s="3" t="s">
        <v>6</v>
      </c>
      <c r="B8" s="120">
        <v>25000</v>
      </c>
      <c r="C8" s="68">
        <v>0.1</v>
      </c>
      <c r="D8" s="120">
        <v>29707.1</v>
      </c>
      <c r="E8" s="54">
        <f t="shared" si="0"/>
        <v>2784.12346369515</v>
      </c>
      <c r="F8" s="120">
        <v>60</v>
      </c>
      <c r="G8" s="22">
        <v>1</v>
      </c>
      <c r="H8" s="120">
        <v>214</v>
      </c>
      <c r="I8" s="54">
        <f t="shared" si="1"/>
        <v>68.59852642276422</v>
      </c>
      <c r="J8" s="120">
        <v>145</v>
      </c>
      <c r="K8" s="22">
        <v>1</v>
      </c>
      <c r="L8" s="120">
        <v>170</v>
      </c>
      <c r="M8" s="54">
        <f t="shared" si="2"/>
        <v>213.0527634876666</v>
      </c>
      <c r="N8" s="59">
        <f t="shared" si="3"/>
        <v>3065.774753605581</v>
      </c>
      <c r="P8" s="61"/>
    </row>
    <row r="9" spans="1:16" s="60" customFormat="1" ht="18.75">
      <c r="A9" s="3" t="s">
        <v>14</v>
      </c>
      <c r="B9" s="120">
        <v>37000</v>
      </c>
      <c r="C9" s="68">
        <v>0.1</v>
      </c>
      <c r="D9" s="120">
        <v>38248.6</v>
      </c>
      <c r="E9" s="54">
        <f t="shared" si="0"/>
        <v>3584.6253829384327</v>
      </c>
      <c r="F9" s="120">
        <v>260</v>
      </c>
      <c r="G9" s="22">
        <v>1</v>
      </c>
      <c r="H9" s="120">
        <v>562</v>
      </c>
      <c r="I9" s="54">
        <f t="shared" si="1"/>
        <v>180.15127032520326</v>
      </c>
      <c r="J9" s="120">
        <v>190</v>
      </c>
      <c r="K9" s="22">
        <v>1</v>
      </c>
      <c r="L9" s="120">
        <v>516</v>
      </c>
      <c r="M9" s="54">
        <f t="shared" si="2"/>
        <v>646.6777997625644</v>
      </c>
      <c r="N9" s="59">
        <f t="shared" si="3"/>
        <v>4411.4544530262</v>
      </c>
      <c r="P9" s="61"/>
    </row>
    <row r="10" spans="1:16" s="60" customFormat="1" ht="18.75">
      <c r="A10" s="3" t="s">
        <v>7</v>
      </c>
      <c r="B10" s="120">
        <v>10000</v>
      </c>
      <c r="C10" s="68">
        <v>0.1</v>
      </c>
      <c r="D10" s="120">
        <v>10564.3</v>
      </c>
      <c r="E10" s="54">
        <f t="shared" si="0"/>
        <v>990.0769683851562</v>
      </c>
      <c r="F10" s="120">
        <v>9.5</v>
      </c>
      <c r="G10" s="22">
        <v>1</v>
      </c>
      <c r="H10" s="120">
        <v>189</v>
      </c>
      <c r="I10" s="54">
        <f t="shared" si="1"/>
        <v>60.58467987804878</v>
      </c>
      <c r="J10" s="120">
        <v>2713</v>
      </c>
      <c r="K10" s="22">
        <v>1</v>
      </c>
      <c r="L10" s="120">
        <v>11</v>
      </c>
      <c r="M10" s="54">
        <f t="shared" si="2"/>
        <v>13.785767049201954</v>
      </c>
      <c r="N10" s="59">
        <f t="shared" si="3"/>
        <v>1064.447415312407</v>
      </c>
      <c r="P10" s="61"/>
    </row>
    <row r="11" spans="1:16" s="60" customFormat="1" ht="18.75">
      <c r="A11" s="3" t="s">
        <v>8</v>
      </c>
      <c r="B11" s="120">
        <v>23414</v>
      </c>
      <c r="C11" s="68">
        <v>0.1</v>
      </c>
      <c r="D11" s="120">
        <v>24051.8</v>
      </c>
      <c r="E11" s="54">
        <f t="shared" si="0"/>
        <v>2254.113687438458</v>
      </c>
      <c r="F11" s="120">
        <v>26.7</v>
      </c>
      <c r="G11" s="22">
        <v>1</v>
      </c>
      <c r="H11" s="120">
        <v>69</v>
      </c>
      <c r="I11" s="54">
        <f t="shared" si="1"/>
        <v>22.118216463414637</v>
      </c>
      <c r="J11" s="120">
        <v>2881.6</v>
      </c>
      <c r="K11" s="22">
        <v>1</v>
      </c>
      <c r="L11" s="120">
        <v>3010</v>
      </c>
      <c r="M11" s="54">
        <f t="shared" si="2"/>
        <v>3772.2871652816257</v>
      </c>
      <c r="N11" s="59">
        <f t="shared" si="3"/>
        <v>6048.519069183498</v>
      </c>
      <c r="P11" s="61"/>
    </row>
    <row r="12" spans="1:16" s="4" customFormat="1" ht="18.75">
      <c r="A12" s="3" t="s">
        <v>9</v>
      </c>
      <c r="B12" s="120">
        <v>52600</v>
      </c>
      <c r="C12" s="68">
        <v>0.1</v>
      </c>
      <c r="D12" s="120">
        <v>55856</v>
      </c>
      <c r="E12" s="54">
        <f t="shared" si="0"/>
        <v>5234.775531376549</v>
      </c>
      <c r="F12" s="120">
        <v>49.8</v>
      </c>
      <c r="G12" s="22">
        <v>1</v>
      </c>
      <c r="H12" s="120">
        <v>261</v>
      </c>
      <c r="I12" s="54">
        <f t="shared" si="1"/>
        <v>83.66455792682927</v>
      </c>
      <c r="J12" s="120">
        <v>266.2</v>
      </c>
      <c r="K12" s="22">
        <v>1</v>
      </c>
      <c r="L12" s="120">
        <v>248</v>
      </c>
      <c r="M12" s="56">
        <f t="shared" si="2"/>
        <v>310.8063843820077</v>
      </c>
      <c r="N12" s="57">
        <f t="shared" si="3"/>
        <v>5629.246473685385</v>
      </c>
      <c r="P12" s="12"/>
    </row>
    <row r="13" spans="1:16" s="4" customFormat="1" ht="18.75">
      <c r="A13" s="3" t="s">
        <v>10</v>
      </c>
      <c r="B13" s="120">
        <v>9900</v>
      </c>
      <c r="C13" s="68">
        <v>0.1</v>
      </c>
      <c r="D13" s="120">
        <v>9951.4</v>
      </c>
      <c r="E13" s="54">
        <f t="shared" si="0"/>
        <v>932.6365157358314</v>
      </c>
      <c r="F13" s="120">
        <v>68</v>
      </c>
      <c r="G13" s="22">
        <v>1</v>
      </c>
      <c r="H13" s="120">
        <v>108</v>
      </c>
      <c r="I13" s="54">
        <f t="shared" si="1"/>
        <v>34.619817073170736</v>
      </c>
      <c r="J13" s="120">
        <v>35</v>
      </c>
      <c r="K13" s="22">
        <v>1</v>
      </c>
      <c r="L13" s="120">
        <v>30</v>
      </c>
      <c r="M13" s="56">
        <f t="shared" si="2"/>
        <v>37.597546497823515</v>
      </c>
      <c r="N13" s="57">
        <f t="shared" si="3"/>
        <v>1004.8538793068255</v>
      </c>
      <c r="P13" s="12"/>
    </row>
    <row r="14" spans="1:16" s="4" customFormat="1" ht="18.75">
      <c r="A14" s="3" t="s">
        <v>11</v>
      </c>
      <c r="B14" s="120">
        <v>4920</v>
      </c>
      <c r="C14" s="68">
        <v>0.1</v>
      </c>
      <c r="D14" s="120">
        <v>5637.4</v>
      </c>
      <c r="E14" s="54">
        <f t="shared" si="0"/>
        <v>528.3322038918319</v>
      </c>
      <c r="F14" s="120">
        <v>10</v>
      </c>
      <c r="G14" s="22">
        <v>1</v>
      </c>
      <c r="H14" s="120">
        <v>31</v>
      </c>
      <c r="I14" s="54">
        <f t="shared" si="1"/>
        <v>9.937169715447155</v>
      </c>
      <c r="J14" s="120">
        <v>11.1</v>
      </c>
      <c r="K14" s="22">
        <v>1</v>
      </c>
      <c r="L14" s="120">
        <v>11</v>
      </c>
      <c r="M14" s="56">
        <f t="shared" si="2"/>
        <v>13.785767049201954</v>
      </c>
      <c r="N14" s="57">
        <f t="shared" si="3"/>
        <v>552.055140656481</v>
      </c>
      <c r="P14" s="12"/>
    </row>
    <row r="15" spans="1:16" s="5" customFormat="1" ht="18.75">
      <c r="A15" s="3" t="s">
        <v>12</v>
      </c>
      <c r="B15" s="107">
        <f>SUM(B3:B14)</f>
        <v>458184</v>
      </c>
      <c r="C15" s="72">
        <v>0.1</v>
      </c>
      <c r="D15" s="107">
        <f>SUM(D3:D14)</f>
        <v>488890.6</v>
      </c>
      <c r="E15" s="24"/>
      <c r="F15" s="107">
        <f>SUM(F3:F14)</f>
        <v>1261.7</v>
      </c>
      <c r="G15" s="23">
        <v>1</v>
      </c>
      <c r="H15" s="107">
        <f>SUM(H3:H14)</f>
        <v>3936</v>
      </c>
      <c r="I15" s="24"/>
      <c r="J15" s="107">
        <f>SUM(J3:J14)</f>
        <v>9500.900000000001</v>
      </c>
      <c r="K15" s="23">
        <v>1</v>
      </c>
      <c r="L15" s="107">
        <f>SUM(L3:L14)</f>
        <v>7581</v>
      </c>
      <c r="M15" s="25"/>
      <c r="N15" s="58">
        <f>SUM(N3:N14)</f>
        <v>56581.000000000015</v>
      </c>
      <c r="P15" s="13"/>
    </row>
    <row r="16" ht="23.25" customHeight="1"/>
    <row r="17" spans="4:12" ht="12.75">
      <c r="D17" s="129"/>
      <c r="E17" s="129"/>
      <c r="F17" s="129"/>
      <c r="G17" s="129"/>
      <c r="H17" s="129"/>
      <c r="I17" s="129"/>
      <c r="J17" s="129"/>
      <c r="K17" s="129"/>
      <c r="L17" s="129"/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24" sqref="J24"/>
    </sheetView>
  </sheetViews>
  <sheetFormatPr defaultColWidth="9.140625" defaultRowHeight="15"/>
  <cols>
    <col min="1" max="1" width="24.7109375" style="2" bestFit="1" customWidth="1"/>
    <col min="2" max="2" width="10.140625" style="1" bestFit="1" customWidth="1"/>
    <col min="3" max="3" width="7.00390625" style="1" bestFit="1" customWidth="1"/>
    <col min="4" max="4" width="10.140625" style="1" bestFit="1" customWidth="1"/>
    <col min="5" max="5" width="9.00390625" style="1" bestFit="1" customWidth="1"/>
    <col min="6" max="9" width="14.140625" style="1" bestFit="1" customWidth="1"/>
    <col min="10" max="13" width="15.57421875" style="1" bestFit="1" customWidth="1"/>
    <col min="14" max="14" width="9.00390625" style="1" bestFit="1" customWidth="1"/>
    <col min="15" max="15" width="9.140625" style="2" customWidth="1"/>
    <col min="16" max="16" width="11.00390625" style="10" bestFit="1" customWidth="1"/>
    <col min="17" max="16384" width="9.140625" style="2" customWidth="1"/>
  </cols>
  <sheetData>
    <row r="1" spans="1:16" s="15" customFormat="1" ht="24.75" customHeight="1">
      <c r="A1" s="135" t="s">
        <v>146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P1" s="26"/>
    </row>
    <row r="2" spans="1:16" s="7" customFormat="1" ht="51">
      <c r="A2" s="6" t="s">
        <v>0</v>
      </c>
      <c r="B2" s="106" t="s">
        <v>35</v>
      </c>
      <c r="C2" s="14" t="s">
        <v>36</v>
      </c>
      <c r="D2" s="106" t="s">
        <v>37</v>
      </c>
      <c r="E2" s="19" t="s">
        <v>38</v>
      </c>
      <c r="F2" s="106" t="s">
        <v>42</v>
      </c>
      <c r="G2" s="14" t="s">
        <v>39</v>
      </c>
      <c r="H2" s="106" t="s">
        <v>40</v>
      </c>
      <c r="I2" s="19" t="s">
        <v>41</v>
      </c>
      <c r="J2" s="106" t="s">
        <v>43</v>
      </c>
      <c r="K2" s="14" t="s">
        <v>44</v>
      </c>
      <c r="L2" s="106" t="s">
        <v>45</v>
      </c>
      <c r="M2" s="19" t="s">
        <v>46</v>
      </c>
      <c r="N2" s="20" t="s">
        <v>13</v>
      </c>
      <c r="P2" s="11"/>
    </row>
    <row r="3" spans="1:16" s="60" customFormat="1" ht="18.75">
      <c r="A3" s="3" t="s">
        <v>1</v>
      </c>
      <c r="B3" s="120">
        <v>201000</v>
      </c>
      <c r="C3" s="68">
        <v>0.1</v>
      </c>
      <c r="D3" s="120">
        <v>190291</v>
      </c>
      <c r="E3" s="54">
        <f>B$15*C$15*(D3/D$15)</f>
        <v>17881.15885598946</v>
      </c>
      <c r="F3" s="120">
        <v>590</v>
      </c>
      <c r="G3" s="22">
        <v>1</v>
      </c>
      <c r="H3" s="120">
        <v>1891</v>
      </c>
      <c r="I3" s="54">
        <f>F$15*G$15*(H3/H$15)</f>
        <v>606.1673526422765</v>
      </c>
      <c r="J3" s="120">
        <v>2090</v>
      </c>
      <c r="K3" s="22">
        <v>1</v>
      </c>
      <c r="L3" s="120">
        <v>2280</v>
      </c>
      <c r="M3" s="54">
        <f>J$15*K$15*(L3/L$15)</f>
        <v>2857.413533834587</v>
      </c>
      <c r="N3" s="59">
        <f>SUM(E3+I3+M3)</f>
        <v>21344.73974246632</v>
      </c>
      <c r="P3" s="61"/>
    </row>
    <row r="4" spans="1:16" s="60" customFormat="1" ht="18.75">
      <c r="A4" s="3" t="s">
        <v>2</v>
      </c>
      <c r="B4" s="120">
        <v>34500</v>
      </c>
      <c r="C4" s="68">
        <v>0.1</v>
      </c>
      <c r="D4" s="120">
        <v>29271.2</v>
      </c>
      <c r="E4" s="54">
        <f>B$15*C$15*(D4/D$15)</f>
        <v>2750.5398421650984</v>
      </c>
      <c r="F4" s="120">
        <v>50</v>
      </c>
      <c r="G4" s="22">
        <v>1</v>
      </c>
      <c r="H4" s="120">
        <v>165</v>
      </c>
      <c r="I4" s="54">
        <f aca="true" t="shared" si="0" ref="I4:I14">F$15*G$15*(H4/H$15)</f>
        <v>52.89138719512196</v>
      </c>
      <c r="J4" s="120">
        <v>55</v>
      </c>
      <c r="K4" s="22">
        <v>1</v>
      </c>
      <c r="L4" s="120">
        <v>54</v>
      </c>
      <c r="M4" s="54">
        <f aca="true" t="shared" si="1" ref="M4:M14">J$15*K$15*(L4/L$15)</f>
        <v>67.67558369608233</v>
      </c>
      <c r="N4" s="59">
        <f aca="true" t="shared" si="2" ref="N4:N14">SUM(E4+I4+M4)</f>
        <v>2871.1068130563026</v>
      </c>
      <c r="P4" s="61"/>
    </row>
    <row r="5" spans="1:16" s="60" customFormat="1" ht="18.75">
      <c r="A5" s="3" t="s">
        <v>3</v>
      </c>
      <c r="B5" s="120">
        <v>37000</v>
      </c>
      <c r="C5" s="68">
        <v>0.1</v>
      </c>
      <c r="D5" s="120">
        <v>58916.2</v>
      </c>
      <c r="E5" s="54">
        <f aca="true" t="shared" si="3" ref="E5:E14">B$15*C$15*(D5/D$15)</f>
        <v>5536.204714838044</v>
      </c>
      <c r="F5" s="120">
        <v>90</v>
      </c>
      <c r="G5" s="22">
        <v>1</v>
      </c>
      <c r="H5" s="120">
        <v>179</v>
      </c>
      <c r="I5" s="54">
        <f t="shared" si="0"/>
        <v>57.379141260162605</v>
      </c>
      <c r="J5" s="120">
        <v>1040</v>
      </c>
      <c r="K5" s="22">
        <v>1</v>
      </c>
      <c r="L5" s="120">
        <v>1094</v>
      </c>
      <c r="M5" s="54">
        <f t="shared" si="1"/>
        <v>1371.0571956206306</v>
      </c>
      <c r="N5" s="59">
        <f t="shared" si="2"/>
        <v>6964.641051718837</v>
      </c>
      <c r="P5" s="61"/>
    </row>
    <row r="6" spans="1:16" s="60" customFormat="1" ht="18.75">
      <c r="A6" s="3" t="s">
        <v>4</v>
      </c>
      <c r="B6" s="120">
        <v>6500</v>
      </c>
      <c r="C6" s="68">
        <v>0.1</v>
      </c>
      <c r="D6" s="120">
        <v>17271.1</v>
      </c>
      <c r="E6" s="54">
        <f t="shared" si="3"/>
        <v>1622.9211193260824</v>
      </c>
      <c r="F6" s="120">
        <v>24</v>
      </c>
      <c r="G6" s="22">
        <v>1</v>
      </c>
      <c r="H6" s="120">
        <v>78</v>
      </c>
      <c r="I6" s="54">
        <f t="shared" si="0"/>
        <v>25.003201219512196</v>
      </c>
      <c r="J6" s="120">
        <v>42</v>
      </c>
      <c r="K6" s="22">
        <v>1</v>
      </c>
      <c r="L6" s="120">
        <v>47</v>
      </c>
      <c r="M6" s="54">
        <f t="shared" si="1"/>
        <v>58.90282284659017</v>
      </c>
      <c r="N6" s="59">
        <f t="shared" si="2"/>
        <v>1706.8271433921848</v>
      </c>
      <c r="P6" s="61"/>
    </row>
    <row r="7" spans="1:16" s="60" customFormat="1" ht="18.75">
      <c r="A7" s="3" t="s">
        <v>5</v>
      </c>
      <c r="B7" s="120">
        <v>17600</v>
      </c>
      <c r="C7" s="68">
        <v>0.1</v>
      </c>
      <c r="D7" s="120">
        <v>19124.5</v>
      </c>
      <c r="E7" s="54">
        <f t="shared" si="3"/>
        <v>1797.0803797413985</v>
      </c>
      <c r="F7" s="120">
        <v>23.7</v>
      </c>
      <c r="G7" s="22">
        <v>1</v>
      </c>
      <c r="H7" s="120">
        <v>189</v>
      </c>
      <c r="I7" s="54">
        <f t="shared" si="0"/>
        <v>60.58467987804878</v>
      </c>
      <c r="J7" s="120">
        <v>32</v>
      </c>
      <c r="K7" s="22">
        <v>1</v>
      </c>
      <c r="L7" s="120">
        <v>110</v>
      </c>
      <c r="M7" s="54">
        <f t="shared" si="1"/>
        <v>137.85767049201954</v>
      </c>
      <c r="N7" s="59">
        <f t="shared" si="2"/>
        <v>1995.5227301114667</v>
      </c>
      <c r="P7" s="61"/>
    </row>
    <row r="8" spans="1:16" s="60" customFormat="1" ht="18.75">
      <c r="A8" s="3" t="s">
        <v>6</v>
      </c>
      <c r="B8" s="120">
        <v>25000</v>
      </c>
      <c r="C8" s="68">
        <v>0.1</v>
      </c>
      <c r="D8" s="120">
        <v>29707.1</v>
      </c>
      <c r="E8" s="54">
        <f>B$15*C$15*(D8/D$15)</f>
        <v>2791.500250935486</v>
      </c>
      <c r="F8" s="120">
        <v>60</v>
      </c>
      <c r="G8" s="22">
        <v>1</v>
      </c>
      <c r="H8" s="120">
        <v>214</v>
      </c>
      <c r="I8" s="54">
        <f t="shared" si="0"/>
        <v>68.59852642276422</v>
      </c>
      <c r="J8" s="120">
        <v>145</v>
      </c>
      <c r="K8" s="22">
        <v>1</v>
      </c>
      <c r="L8" s="120">
        <v>170</v>
      </c>
      <c r="M8" s="54">
        <f t="shared" si="1"/>
        <v>213.0527634876666</v>
      </c>
      <c r="N8" s="59">
        <f t="shared" si="2"/>
        <v>3073.1515408459168</v>
      </c>
      <c r="P8" s="61"/>
    </row>
    <row r="9" spans="1:16" s="60" customFormat="1" ht="18.75">
      <c r="A9" s="3" t="s">
        <v>14</v>
      </c>
      <c r="B9" s="120">
        <v>37000</v>
      </c>
      <c r="C9" s="68">
        <v>0.1</v>
      </c>
      <c r="D9" s="120">
        <v>38248.6</v>
      </c>
      <c r="E9" s="54">
        <f t="shared" si="3"/>
        <v>3594.1231725052603</v>
      </c>
      <c r="F9" s="120">
        <v>260</v>
      </c>
      <c r="G9" s="22">
        <v>1</v>
      </c>
      <c r="H9" s="120">
        <v>562</v>
      </c>
      <c r="I9" s="54">
        <f t="shared" si="0"/>
        <v>180.15127032520326</v>
      </c>
      <c r="J9" s="120">
        <v>190</v>
      </c>
      <c r="K9" s="22">
        <v>1</v>
      </c>
      <c r="L9" s="120">
        <v>516</v>
      </c>
      <c r="M9" s="54">
        <f t="shared" si="1"/>
        <v>646.6777997625644</v>
      </c>
      <c r="N9" s="59">
        <f t="shared" si="2"/>
        <v>4420.952242593028</v>
      </c>
      <c r="P9" s="61"/>
    </row>
    <row r="10" spans="1:16" s="60" customFormat="1" ht="18.75">
      <c r="A10" s="3" t="s">
        <v>7</v>
      </c>
      <c r="B10" s="120">
        <v>10000</v>
      </c>
      <c r="C10" s="68">
        <v>0.1</v>
      </c>
      <c r="D10" s="120">
        <v>10564.3</v>
      </c>
      <c r="E10" s="54">
        <f t="shared" si="3"/>
        <v>992.700266971793</v>
      </c>
      <c r="F10" s="120">
        <v>9.5</v>
      </c>
      <c r="G10" s="22">
        <v>1</v>
      </c>
      <c r="H10" s="120">
        <v>189</v>
      </c>
      <c r="I10" s="54">
        <f t="shared" si="0"/>
        <v>60.58467987804878</v>
      </c>
      <c r="J10" s="120">
        <v>2713</v>
      </c>
      <c r="K10" s="22">
        <v>1</v>
      </c>
      <c r="L10" s="120">
        <v>11</v>
      </c>
      <c r="M10" s="54">
        <f t="shared" si="1"/>
        <v>13.785767049201954</v>
      </c>
      <c r="N10" s="59">
        <f t="shared" si="2"/>
        <v>1067.0707138990438</v>
      </c>
      <c r="P10" s="61"/>
    </row>
    <row r="11" spans="1:16" s="60" customFormat="1" ht="18.75">
      <c r="A11" s="3" t="s">
        <v>8</v>
      </c>
      <c r="B11" s="120">
        <v>23378</v>
      </c>
      <c r="C11" s="68">
        <v>0.1</v>
      </c>
      <c r="D11" s="120">
        <v>24051.8</v>
      </c>
      <c r="E11" s="54">
        <f t="shared" si="3"/>
        <v>2260.0861657802384</v>
      </c>
      <c r="F11" s="120">
        <v>26.7</v>
      </c>
      <c r="G11" s="22">
        <v>1</v>
      </c>
      <c r="H11" s="120">
        <v>69</v>
      </c>
      <c r="I11" s="54">
        <f t="shared" si="0"/>
        <v>22.118216463414637</v>
      </c>
      <c r="J11" s="120">
        <v>2881.6</v>
      </c>
      <c r="K11" s="22">
        <v>1</v>
      </c>
      <c r="L11" s="120">
        <v>3010</v>
      </c>
      <c r="M11" s="54">
        <f t="shared" si="1"/>
        <v>3772.2871652816257</v>
      </c>
      <c r="N11" s="59">
        <f t="shared" si="2"/>
        <v>6054.491547525278</v>
      </c>
      <c r="P11" s="61"/>
    </row>
    <row r="12" spans="1:16" s="60" customFormat="1" ht="18.75">
      <c r="A12" s="3" t="s">
        <v>9</v>
      </c>
      <c r="B12" s="120">
        <v>52600</v>
      </c>
      <c r="C12" s="68">
        <v>0.1</v>
      </c>
      <c r="D12" s="120">
        <v>55856</v>
      </c>
      <c r="E12" s="54">
        <f t="shared" si="3"/>
        <v>5248.6455431951445</v>
      </c>
      <c r="F12" s="120">
        <v>49.8</v>
      </c>
      <c r="G12" s="22">
        <v>1</v>
      </c>
      <c r="H12" s="120">
        <v>261</v>
      </c>
      <c r="I12" s="54">
        <f t="shared" si="0"/>
        <v>83.66455792682927</v>
      </c>
      <c r="J12" s="120">
        <v>266.2</v>
      </c>
      <c r="K12" s="22">
        <v>1</v>
      </c>
      <c r="L12" s="120">
        <v>248</v>
      </c>
      <c r="M12" s="54">
        <f t="shared" si="1"/>
        <v>310.8063843820077</v>
      </c>
      <c r="N12" s="59">
        <f t="shared" si="2"/>
        <v>5643.116485503981</v>
      </c>
      <c r="P12" s="61"/>
    </row>
    <row r="13" spans="1:16" s="60" customFormat="1" ht="18.75">
      <c r="A13" s="3" t="s">
        <v>10</v>
      </c>
      <c r="B13" s="120">
        <v>9900</v>
      </c>
      <c r="C13" s="68">
        <v>0.1</v>
      </c>
      <c r="D13" s="120">
        <v>9951.4</v>
      </c>
      <c r="E13" s="54">
        <f t="shared" si="3"/>
        <v>935.1076206415097</v>
      </c>
      <c r="F13" s="120">
        <v>68</v>
      </c>
      <c r="G13" s="22">
        <v>1</v>
      </c>
      <c r="H13" s="120">
        <v>108</v>
      </c>
      <c r="I13" s="54">
        <f t="shared" si="0"/>
        <v>34.619817073170736</v>
      </c>
      <c r="J13" s="120">
        <v>35</v>
      </c>
      <c r="K13" s="22">
        <v>1</v>
      </c>
      <c r="L13" s="120">
        <v>30</v>
      </c>
      <c r="M13" s="54">
        <f t="shared" si="1"/>
        <v>37.597546497823515</v>
      </c>
      <c r="N13" s="59">
        <f t="shared" si="2"/>
        <v>1007.324984212504</v>
      </c>
      <c r="P13" s="61"/>
    </row>
    <row r="14" spans="1:16" s="60" customFormat="1" ht="18.75">
      <c r="A14" s="3" t="s">
        <v>11</v>
      </c>
      <c r="B14" s="120">
        <v>4920</v>
      </c>
      <c r="C14" s="68">
        <v>0.1</v>
      </c>
      <c r="D14" s="120">
        <v>5637.4</v>
      </c>
      <c r="E14" s="54">
        <f t="shared" si="3"/>
        <v>529.7320679104896</v>
      </c>
      <c r="F14" s="120">
        <v>10</v>
      </c>
      <c r="G14" s="22">
        <v>1</v>
      </c>
      <c r="H14" s="120">
        <v>31</v>
      </c>
      <c r="I14" s="54">
        <f t="shared" si="0"/>
        <v>9.937169715447155</v>
      </c>
      <c r="J14" s="120">
        <v>11.1</v>
      </c>
      <c r="K14" s="22">
        <v>1</v>
      </c>
      <c r="L14" s="120">
        <v>11</v>
      </c>
      <c r="M14" s="54">
        <f t="shared" si="1"/>
        <v>13.785767049201954</v>
      </c>
      <c r="N14" s="59">
        <f t="shared" si="2"/>
        <v>553.4550046751386</v>
      </c>
      <c r="P14" s="61"/>
    </row>
    <row r="15" spans="1:16" s="5" customFormat="1" ht="18.75">
      <c r="A15" s="3" t="s">
        <v>12</v>
      </c>
      <c r="B15" s="107">
        <f>SUM(B3:B14)</f>
        <v>459398</v>
      </c>
      <c r="C15" s="72">
        <v>0.1</v>
      </c>
      <c r="D15" s="107">
        <f>SUM(D3:D14)</f>
        <v>488890.6</v>
      </c>
      <c r="E15" s="24"/>
      <c r="F15" s="107">
        <f>SUM(F3:F14)</f>
        <v>1261.7</v>
      </c>
      <c r="G15" s="23">
        <v>1</v>
      </c>
      <c r="H15" s="107">
        <f>SUM(H3:H14)</f>
        <v>3936</v>
      </c>
      <c r="I15" s="24"/>
      <c r="J15" s="107">
        <f>SUM(J3:J14)</f>
        <v>9500.900000000001</v>
      </c>
      <c r="K15" s="23">
        <v>1</v>
      </c>
      <c r="L15" s="107">
        <f>SUM(L3:L14)</f>
        <v>7581</v>
      </c>
      <c r="M15" s="24"/>
      <c r="N15" s="58">
        <f>SUM(N3:N14)</f>
        <v>56702.4</v>
      </c>
      <c r="P15" s="13"/>
    </row>
    <row r="16" ht="23.25" customHeight="1"/>
    <row r="17" spans="4:12" ht="12.75">
      <c r="D17" s="129"/>
      <c r="E17" s="129"/>
      <c r="F17" s="129"/>
      <c r="G17" s="129"/>
      <c r="H17" s="129"/>
      <c r="I17" s="129"/>
      <c r="J17" s="129"/>
      <c r="K17" s="129"/>
      <c r="L17" s="129"/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1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33" sqref="G33"/>
    </sheetView>
  </sheetViews>
  <sheetFormatPr defaultColWidth="9.140625" defaultRowHeight="15"/>
  <cols>
    <col min="1" max="1" width="37.00390625" style="41" customWidth="1"/>
    <col min="2" max="2" width="12.7109375" style="39" customWidth="1"/>
    <col min="3" max="3" width="12.57421875" style="39" customWidth="1"/>
    <col min="4" max="4" width="13.28125" style="39" customWidth="1"/>
    <col min="5" max="5" width="11.421875" style="39" customWidth="1"/>
    <col min="6" max="6" width="12.421875" style="39" customWidth="1"/>
    <col min="7" max="7" width="11.7109375" style="39" customWidth="1"/>
    <col min="8" max="8" width="12.28125" style="39" customWidth="1"/>
    <col min="9" max="9" width="11.7109375" style="39" customWidth="1"/>
    <col min="10" max="10" width="12.57421875" style="39" customWidth="1"/>
    <col min="11" max="11" width="11.7109375" style="39" customWidth="1"/>
    <col min="12" max="13" width="10.140625" style="39" bestFit="1" customWidth="1"/>
    <col min="14" max="232" width="9.140625" style="39" customWidth="1"/>
    <col min="233" max="16384" width="9.140625" style="40" customWidth="1"/>
  </cols>
  <sheetData>
    <row r="1" spans="1:13" ht="12.75">
      <c r="A1" s="139" t="s">
        <v>147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ht="12.75">
      <c r="M2" s="39" t="s">
        <v>72</v>
      </c>
    </row>
    <row r="3" spans="1:232" ht="47.25" customHeight="1">
      <c r="A3" s="136" t="s">
        <v>73</v>
      </c>
      <c r="B3" s="137" t="s">
        <v>55</v>
      </c>
      <c r="C3" s="137"/>
      <c r="D3" s="137"/>
      <c r="E3" s="137" t="s">
        <v>56</v>
      </c>
      <c r="F3" s="137"/>
      <c r="G3" s="137"/>
      <c r="H3" s="137" t="s">
        <v>57</v>
      </c>
      <c r="I3" s="137"/>
      <c r="J3" s="137"/>
      <c r="K3" s="138" t="s">
        <v>71</v>
      </c>
      <c r="L3" s="138"/>
      <c r="M3" s="138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</row>
    <row r="4" spans="1:13" ht="12.75" customHeight="1">
      <c r="A4" s="136"/>
      <c r="B4" s="42" t="s">
        <v>129</v>
      </c>
      <c r="C4" s="43" t="s">
        <v>136</v>
      </c>
      <c r="D4" s="44" t="s">
        <v>148</v>
      </c>
      <c r="E4" s="42" t="s">
        <v>129</v>
      </c>
      <c r="F4" s="43" t="s">
        <v>136</v>
      </c>
      <c r="G4" s="44" t="s">
        <v>148</v>
      </c>
      <c r="H4" s="42" t="s">
        <v>129</v>
      </c>
      <c r="I4" s="43" t="s">
        <v>136</v>
      </c>
      <c r="J4" s="44" t="s">
        <v>148</v>
      </c>
      <c r="K4" s="42" t="s">
        <v>129</v>
      </c>
      <c r="L4" s="43" t="s">
        <v>136</v>
      </c>
      <c r="M4" s="44" t="s">
        <v>148</v>
      </c>
    </row>
    <row r="5" spans="1:232" ht="13.5" customHeight="1">
      <c r="A5" s="108" t="s">
        <v>58</v>
      </c>
      <c r="B5" s="114">
        <v>19900</v>
      </c>
      <c r="C5" s="115">
        <v>20000</v>
      </c>
      <c r="D5" s="116">
        <v>20100</v>
      </c>
      <c r="E5" s="117">
        <v>590</v>
      </c>
      <c r="F5" s="118">
        <v>590</v>
      </c>
      <c r="G5" s="119">
        <v>590</v>
      </c>
      <c r="H5" s="117">
        <v>2090</v>
      </c>
      <c r="I5" s="118">
        <v>2090</v>
      </c>
      <c r="J5" s="119">
        <v>2090</v>
      </c>
      <c r="K5" s="45">
        <f>SUM(B5+E5+H5)</f>
        <v>22580</v>
      </c>
      <c r="L5" s="46">
        <f>SUM(C5+F5+I5)</f>
        <v>22680</v>
      </c>
      <c r="M5" s="47">
        <f>SUM(D5+G5+J5)</f>
        <v>22780</v>
      </c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</row>
    <row r="6" spans="1:232" ht="13.5" customHeight="1">
      <c r="A6" s="108" t="s">
        <v>59</v>
      </c>
      <c r="B6" s="114">
        <v>3450</v>
      </c>
      <c r="C6" s="115">
        <v>3450</v>
      </c>
      <c r="D6" s="116">
        <v>3450</v>
      </c>
      <c r="E6" s="117">
        <v>47</v>
      </c>
      <c r="F6" s="118">
        <v>50</v>
      </c>
      <c r="G6" s="119">
        <v>50</v>
      </c>
      <c r="H6" s="117">
        <v>55</v>
      </c>
      <c r="I6" s="118">
        <v>55</v>
      </c>
      <c r="J6" s="119">
        <v>55</v>
      </c>
      <c r="K6" s="45">
        <f aca="true" t="shared" si="0" ref="K6:M16">SUM(B6+E6+H6)</f>
        <v>3552</v>
      </c>
      <c r="L6" s="46">
        <f t="shared" si="0"/>
        <v>3555</v>
      </c>
      <c r="M6" s="47">
        <f t="shared" si="0"/>
        <v>3555</v>
      </c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</row>
    <row r="7" spans="1:232" ht="13.5" customHeight="1">
      <c r="A7" s="108" t="s">
        <v>60</v>
      </c>
      <c r="B7" s="114">
        <v>3600</v>
      </c>
      <c r="C7" s="115">
        <v>3700</v>
      </c>
      <c r="D7" s="116">
        <v>3700</v>
      </c>
      <c r="E7" s="117">
        <v>90</v>
      </c>
      <c r="F7" s="118">
        <v>90</v>
      </c>
      <c r="G7" s="119">
        <v>90</v>
      </c>
      <c r="H7" s="117">
        <v>1040</v>
      </c>
      <c r="I7" s="118">
        <v>1040</v>
      </c>
      <c r="J7" s="119">
        <v>1040</v>
      </c>
      <c r="K7" s="45">
        <f t="shared" si="0"/>
        <v>4730</v>
      </c>
      <c r="L7" s="46">
        <f t="shared" si="0"/>
        <v>4830</v>
      </c>
      <c r="M7" s="47">
        <f t="shared" si="0"/>
        <v>4830</v>
      </c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</row>
    <row r="8" spans="1:232" ht="13.5" customHeight="1">
      <c r="A8" s="108" t="s">
        <v>61</v>
      </c>
      <c r="B8" s="114">
        <v>990</v>
      </c>
      <c r="C8" s="115">
        <v>990</v>
      </c>
      <c r="D8" s="116">
        <v>990</v>
      </c>
      <c r="E8" s="117">
        <v>68</v>
      </c>
      <c r="F8" s="118">
        <v>68</v>
      </c>
      <c r="G8" s="119">
        <v>68</v>
      </c>
      <c r="H8" s="117">
        <v>35</v>
      </c>
      <c r="I8" s="118">
        <v>35</v>
      </c>
      <c r="J8" s="119">
        <v>35</v>
      </c>
      <c r="K8" s="45">
        <f t="shared" si="0"/>
        <v>1093</v>
      </c>
      <c r="L8" s="46">
        <f t="shared" si="0"/>
        <v>1093</v>
      </c>
      <c r="M8" s="47">
        <f t="shared" si="0"/>
        <v>1093</v>
      </c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</row>
    <row r="9" spans="1:232" ht="13.5" customHeight="1">
      <c r="A9" s="108" t="s">
        <v>62</v>
      </c>
      <c r="B9" s="114">
        <v>1760</v>
      </c>
      <c r="C9" s="115">
        <v>1760</v>
      </c>
      <c r="D9" s="116">
        <v>1760</v>
      </c>
      <c r="E9" s="117">
        <v>23.7</v>
      </c>
      <c r="F9" s="118">
        <v>23.7</v>
      </c>
      <c r="G9" s="119">
        <v>23.7</v>
      </c>
      <c r="H9" s="117">
        <v>32</v>
      </c>
      <c r="I9" s="118">
        <v>32</v>
      </c>
      <c r="J9" s="119">
        <v>32</v>
      </c>
      <c r="K9" s="45">
        <f t="shared" si="0"/>
        <v>1815.7</v>
      </c>
      <c r="L9" s="46">
        <f t="shared" si="0"/>
        <v>1815.7</v>
      </c>
      <c r="M9" s="47">
        <f t="shared" si="0"/>
        <v>1815.7</v>
      </c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</row>
    <row r="10" spans="1:232" ht="13.5" customHeight="1">
      <c r="A10" s="108" t="s">
        <v>63</v>
      </c>
      <c r="B10" s="114">
        <v>1050</v>
      </c>
      <c r="C10" s="115">
        <v>1000</v>
      </c>
      <c r="D10" s="116">
        <v>1000</v>
      </c>
      <c r="E10" s="117">
        <v>9.5</v>
      </c>
      <c r="F10" s="118">
        <v>9.5</v>
      </c>
      <c r="G10" s="119">
        <v>9.5</v>
      </c>
      <c r="H10" s="117">
        <v>2713</v>
      </c>
      <c r="I10" s="118">
        <v>2713</v>
      </c>
      <c r="J10" s="119">
        <v>2713</v>
      </c>
      <c r="K10" s="45">
        <f t="shared" si="0"/>
        <v>3772.5</v>
      </c>
      <c r="L10" s="46">
        <f t="shared" si="0"/>
        <v>3722.5</v>
      </c>
      <c r="M10" s="47">
        <f t="shared" si="0"/>
        <v>3722.5</v>
      </c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</row>
    <row r="11" spans="1:232" ht="13.5" customHeight="1">
      <c r="A11" s="108" t="s">
        <v>64</v>
      </c>
      <c r="B11" s="114">
        <v>5260</v>
      </c>
      <c r="C11" s="115">
        <v>5260</v>
      </c>
      <c r="D11" s="116">
        <v>5260</v>
      </c>
      <c r="E11" s="117">
        <v>49.8</v>
      </c>
      <c r="F11" s="118">
        <v>49.8</v>
      </c>
      <c r="G11" s="119">
        <v>49.8</v>
      </c>
      <c r="H11" s="117">
        <v>266.2</v>
      </c>
      <c r="I11" s="118">
        <v>266.2</v>
      </c>
      <c r="J11" s="119">
        <v>266.2</v>
      </c>
      <c r="K11" s="45">
        <f t="shared" si="0"/>
        <v>5576</v>
      </c>
      <c r="L11" s="46">
        <f t="shared" si="0"/>
        <v>5576</v>
      </c>
      <c r="M11" s="47">
        <f t="shared" si="0"/>
        <v>5576</v>
      </c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</row>
    <row r="12" spans="1:232" ht="13.5" customHeight="1">
      <c r="A12" s="108" t="s">
        <v>65</v>
      </c>
      <c r="B12" s="114">
        <v>3600</v>
      </c>
      <c r="C12" s="115">
        <v>3700</v>
      </c>
      <c r="D12" s="116">
        <v>3700</v>
      </c>
      <c r="E12" s="117">
        <v>260</v>
      </c>
      <c r="F12" s="118">
        <v>260</v>
      </c>
      <c r="G12" s="119">
        <v>260</v>
      </c>
      <c r="H12" s="117">
        <v>190</v>
      </c>
      <c r="I12" s="118">
        <v>190</v>
      </c>
      <c r="J12" s="119">
        <v>190</v>
      </c>
      <c r="K12" s="45">
        <f t="shared" si="0"/>
        <v>4050</v>
      </c>
      <c r="L12" s="46">
        <f t="shared" si="0"/>
        <v>4150</v>
      </c>
      <c r="M12" s="47">
        <f t="shared" si="0"/>
        <v>4150</v>
      </c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</row>
    <row r="13" spans="1:232" ht="13.5" customHeight="1">
      <c r="A13" s="108" t="s">
        <v>66</v>
      </c>
      <c r="B13" s="114">
        <v>600</v>
      </c>
      <c r="C13" s="115">
        <v>625</v>
      </c>
      <c r="D13" s="116">
        <v>650</v>
      </c>
      <c r="E13" s="117">
        <v>24</v>
      </c>
      <c r="F13" s="118">
        <v>24</v>
      </c>
      <c r="G13" s="119">
        <v>24</v>
      </c>
      <c r="H13" s="117">
        <v>42</v>
      </c>
      <c r="I13" s="118">
        <v>42</v>
      </c>
      <c r="J13" s="119">
        <v>42</v>
      </c>
      <c r="K13" s="45">
        <f t="shared" si="0"/>
        <v>666</v>
      </c>
      <c r="L13" s="46">
        <f t="shared" si="0"/>
        <v>691</v>
      </c>
      <c r="M13" s="47">
        <f t="shared" si="0"/>
        <v>716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</row>
    <row r="14" spans="1:232" ht="13.5" customHeight="1">
      <c r="A14" s="108" t="s">
        <v>67</v>
      </c>
      <c r="B14" s="114">
        <v>2400</v>
      </c>
      <c r="C14" s="115">
        <v>2500</v>
      </c>
      <c r="D14" s="116">
        <v>2500</v>
      </c>
      <c r="E14" s="117">
        <v>60</v>
      </c>
      <c r="F14" s="118">
        <v>60</v>
      </c>
      <c r="G14" s="119">
        <v>60</v>
      </c>
      <c r="H14" s="117">
        <v>145</v>
      </c>
      <c r="I14" s="118">
        <v>145</v>
      </c>
      <c r="J14" s="119">
        <v>145</v>
      </c>
      <c r="K14" s="45">
        <f t="shared" si="0"/>
        <v>2605</v>
      </c>
      <c r="L14" s="46">
        <f t="shared" si="0"/>
        <v>2705</v>
      </c>
      <c r="M14" s="47">
        <f t="shared" si="0"/>
        <v>2705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</row>
    <row r="15" spans="1:232" ht="13.5" customHeight="1">
      <c r="A15" s="108" t="s">
        <v>68</v>
      </c>
      <c r="B15" s="114">
        <v>2367</v>
      </c>
      <c r="C15" s="115">
        <v>2341.4</v>
      </c>
      <c r="D15" s="116">
        <v>2337.8</v>
      </c>
      <c r="E15" s="117">
        <v>23.3</v>
      </c>
      <c r="F15" s="118">
        <v>26.7</v>
      </c>
      <c r="G15" s="119">
        <v>26.7</v>
      </c>
      <c r="H15" s="117">
        <v>2884.8</v>
      </c>
      <c r="I15" s="118">
        <v>2881.6</v>
      </c>
      <c r="J15" s="119">
        <v>2881.6</v>
      </c>
      <c r="K15" s="45">
        <f t="shared" si="0"/>
        <v>5275.1</v>
      </c>
      <c r="L15" s="46">
        <f t="shared" si="0"/>
        <v>5249.7</v>
      </c>
      <c r="M15" s="47">
        <f t="shared" si="0"/>
        <v>5246.1</v>
      </c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</row>
    <row r="16" spans="1:232" ht="13.5" customHeight="1">
      <c r="A16" s="108" t="s">
        <v>69</v>
      </c>
      <c r="B16" s="114">
        <v>492</v>
      </c>
      <c r="C16" s="115">
        <v>492</v>
      </c>
      <c r="D16" s="116">
        <v>492</v>
      </c>
      <c r="E16" s="117">
        <v>10</v>
      </c>
      <c r="F16" s="118">
        <v>10</v>
      </c>
      <c r="G16" s="119">
        <v>10</v>
      </c>
      <c r="H16" s="117">
        <v>10.9</v>
      </c>
      <c r="I16" s="118">
        <v>11.1</v>
      </c>
      <c r="J16" s="119">
        <v>11.1</v>
      </c>
      <c r="K16" s="45">
        <f t="shared" si="0"/>
        <v>512.9</v>
      </c>
      <c r="L16" s="46">
        <f>SUM(C16+F16+I16)</f>
        <v>513.1</v>
      </c>
      <c r="M16" s="47">
        <f t="shared" si="0"/>
        <v>513.1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</row>
    <row r="17" spans="1:13" s="52" customFormat="1" ht="12.75">
      <c r="A17" s="48" t="s">
        <v>70</v>
      </c>
      <c r="B17" s="49">
        <f>SUM(B5:B16)</f>
        <v>45469</v>
      </c>
      <c r="C17" s="50">
        <f aca="true" t="shared" si="1" ref="C17:M17">SUM(C5:C16)</f>
        <v>45818.4</v>
      </c>
      <c r="D17" s="51">
        <f t="shared" si="1"/>
        <v>45939.8</v>
      </c>
      <c r="E17" s="49">
        <f t="shared" si="1"/>
        <v>1255.3</v>
      </c>
      <c r="F17" s="50">
        <f t="shared" si="1"/>
        <v>1261.7</v>
      </c>
      <c r="G17" s="51">
        <f t="shared" si="1"/>
        <v>1261.7</v>
      </c>
      <c r="H17" s="49">
        <f t="shared" si="1"/>
        <v>9503.9</v>
      </c>
      <c r="I17" s="50">
        <f t="shared" si="1"/>
        <v>9500.9</v>
      </c>
      <c r="J17" s="51">
        <f t="shared" si="1"/>
        <v>9500.9</v>
      </c>
      <c r="K17" s="49">
        <f>SUM(K5:K16)</f>
        <v>56228.2</v>
      </c>
      <c r="L17" s="50">
        <f t="shared" si="1"/>
        <v>56580.99999999999</v>
      </c>
      <c r="M17" s="51">
        <f t="shared" si="1"/>
        <v>56702.399999999994</v>
      </c>
    </row>
    <row r="18" s="39" customFormat="1" ht="12.75"/>
    <row r="19" s="39" customFormat="1" ht="12.75"/>
  </sheetData>
  <sheetProtection/>
  <mergeCells count="6">
    <mergeCell ref="A3:A4"/>
    <mergeCell ref="B3:D3"/>
    <mergeCell ref="E3:G3"/>
    <mergeCell ref="H3:J3"/>
    <mergeCell ref="K3:M3"/>
    <mergeCell ref="A1:M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zoomScale="110" zoomScaleNormal="110" zoomScalePageLayoutView="0" workbookViewId="0" topLeftCell="A1">
      <selection activeCell="A2" sqref="A2"/>
    </sheetView>
  </sheetViews>
  <sheetFormatPr defaultColWidth="9.140625" defaultRowHeight="15"/>
  <cols>
    <col min="2" max="2" width="10.140625" style="0" bestFit="1" customWidth="1"/>
    <col min="3" max="3" width="10.8515625" style="0" customWidth="1"/>
    <col min="4" max="4" width="10.7109375" style="0" bestFit="1" customWidth="1"/>
    <col min="5" max="5" width="11.421875" style="0" customWidth="1"/>
    <col min="6" max="6" width="9.28125" style="0" customWidth="1"/>
    <col min="7" max="7" width="11.140625" style="0" bestFit="1" customWidth="1"/>
    <col min="8" max="8" width="11.00390625" style="0" bestFit="1" customWidth="1"/>
    <col min="9" max="9" width="11.140625" style="0" bestFit="1" customWidth="1"/>
    <col min="10" max="10" width="11.00390625" style="0" bestFit="1" customWidth="1"/>
    <col min="11" max="11" width="8.00390625" style="0" bestFit="1" customWidth="1"/>
    <col min="12" max="12" width="10.00390625" style="0" customWidth="1"/>
    <col min="13" max="13" width="9.28125" style="0" bestFit="1" customWidth="1"/>
    <col min="14" max="14" width="9.7109375" style="0" bestFit="1" customWidth="1"/>
  </cols>
  <sheetData>
    <row r="1" spans="1:14" ht="18.75">
      <c r="A1" s="140" t="s">
        <v>161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3" spans="1:14" ht="30">
      <c r="A3" s="27" t="s">
        <v>74</v>
      </c>
      <c r="B3" s="28" t="s">
        <v>75</v>
      </c>
      <c r="C3" s="105" t="s">
        <v>1</v>
      </c>
      <c r="D3" s="28" t="s">
        <v>9</v>
      </c>
      <c r="E3" s="105" t="s">
        <v>7</v>
      </c>
      <c r="F3" s="28" t="s">
        <v>10</v>
      </c>
      <c r="G3" s="28" t="s">
        <v>14</v>
      </c>
      <c r="H3" s="28" t="s">
        <v>76</v>
      </c>
      <c r="I3" s="28" t="s">
        <v>2</v>
      </c>
      <c r="J3" s="28" t="s">
        <v>6</v>
      </c>
      <c r="K3" s="28" t="s">
        <v>11</v>
      </c>
      <c r="L3" s="28" t="s">
        <v>3</v>
      </c>
      <c r="M3" s="28" t="s">
        <v>4</v>
      </c>
      <c r="N3" s="28" t="s">
        <v>77</v>
      </c>
    </row>
    <row r="4" spans="1:14" ht="15">
      <c r="A4" s="29" t="s">
        <v>78</v>
      </c>
      <c r="B4" s="123">
        <v>16599.9</v>
      </c>
      <c r="C4" s="123">
        <v>20066.6</v>
      </c>
      <c r="D4" s="123">
        <v>16281.7</v>
      </c>
      <c r="E4" s="123">
        <v>10247.8</v>
      </c>
      <c r="F4" s="123">
        <v>11044</v>
      </c>
      <c r="G4" s="123">
        <v>13920.4</v>
      </c>
      <c r="H4" s="123">
        <v>13446.3</v>
      </c>
      <c r="I4" s="123">
        <v>14105.3</v>
      </c>
      <c r="J4" s="123">
        <v>22353.5</v>
      </c>
      <c r="K4" s="123">
        <v>7060.2</v>
      </c>
      <c r="L4" s="123">
        <v>16967.4</v>
      </c>
      <c r="M4" s="123">
        <v>10316.5</v>
      </c>
      <c r="N4" s="79">
        <f>SUM(B4:M4)</f>
        <v>172409.6</v>
      </c>
    </row>
    <row r="5" spans="1:14" ht="15">
      <c r="A5" s="29" t="s">
        <v>79</v>
      </c>
      <c r="B5" s="123">
        <v>20.5</v>
      </c>
      <c r="C5" s="123">
        <v>0.9</v>
      </c>
      <c r="D5" s="123">
        <v>736.9</v>
      </c>
      <c r="E5" s="123">
        <v>49.2</v>
      </c>
      <c r="F5" s="123">
        <v>301.4</v>
      </c>
      <c r="G5" s="123">
        <v>47.7</v>
      </c>
      <c r="H5" s="123">
        <v>33.6</v>
      </c>
      <c r="I5" s="123">
        <v>211.6</v>
      </c>
      <c r="J5" s="123">
        <v>7.5</v>
      </c>
      <c r="K5" s="123">
        <v>257.7</v>
      </c>
      <c r="L5" s="123">
        <v>0.7</v>
      </c>
      <c r="M5" s="123">
        <v>258.9</v>
      </c>
      <c r="N5" s="79">
        <f>SUM(B5:M5)</f>
        <v>1926.6</v>
      </c>
    </row>
    <row r="6" spans="1:14" ht="15">
      <c r="A6" s="29" t="s">
        <v>80</v>
      </c>
      <c r="B6" s="123">
        <v>5082</v>
      </c>
      <c r="C6" s="123">
        <v>5643.9</v>
      </c>
      <c r="D6" s="123">
        <v>4328</v>
      </c>
      <c r="E6" s="123">
        <v>3442.3</v>
      </c>
      <c r="F6" s="123">
        <v>3134.9</v>
      </c>
      <c r="G6" s="123">
        <v>4196.9</v>
      </c>
      <c r="H6" s="123">
        <v>4052.7</v>
      </c>
      <c r="I6" s="123">
        <v>4145.1</v>
      </c>
      <c r="J6" s="123">
        <v>6808.1</v>
      </c>
      <c r="K6" s="123">
        <v>1975</v>
      </c>
      <c r="L6" s="123">
        <v>4779.6</v>
      </c>
      <c r="M6" s="123">
        <v>3177.7</v>
      </c>
      <c r="N6" s="79">
        <f>SUM(B6:M6)</f>
        <v>50766.2</v>
      </c>
    </row>
    <row r="7" spans="1:14" ht="15">
      <c r="A7" s="29" t="s">
        <v>150</v>
      </c>
      <c r="B7" s="123">
        <v>155.7</v>
      </c>
      <c r="C7" s="123">
        <v>544.6</v>
      </c>
      <c r="D7" s="123" t="s">
        <v>158</v>
      </c>
      <c r="E7" s="123">
        <v>137.4</v>
      </c>
      <c r="F7" s="123" t="s">
        <v>158</v>
      </c>
      <c r="G7" s="123">
        <v>282.6</v>
      </c>
      <c r="H7" s="123">
        <v>184.7</v>
      </c>
      <c r="I7" s="123">
        <v>144.6</v>
      </c>
      <c r="J7" s="123">
        <v>443.4</v>
      </c>
      <c r="K7" s="123" t="s">
        <v>158</v>
      </c>
      <c r="L7" s="123">
        <v>678.3</v>
      </c>
      <c r="M7" s="123" t="s">
        <v>158</v>
      </c>
      <c r="N7" s="79"/>
    </row>
    <row r="8" spans="1:14" ht="15">
      <c r="A8" s="29" t="s">
        <v>81</v>
      </c>
      <c r="B8" s="123">
        <v>182.1</v>
      </c>
      <c r="C8" s="123">
        <v>356.4</v>
      </c>
      <c r="D8" s="123">
        <v>206.6</v>
      </c>
      <c r="E8" s="123">
        <v>205.7</v>
      </c>
      <c r="F8" s="123">
        <v>112</v>
      </c>
      <c r="G8" s="123">
        <v>314.3</v>
      </c>
      <c r="H8" s="123">
        <v>326.3</v>
      </c>
      <c r="I8" s="123">
        <v>322.5</v>
      </c>
      <c r="J8" s="123">
        <v>257.8</v>
      </c>
      <c r="K8" s="123" t="s">
        <v>158</v>
      </c>
      <c r="L8" s="123">
        <v>341.1</v>
      </c>
      <c r="M8" s="123">
        <v>125.8</v>
      </c>
      <c r="N8" s="79">
        <f aca="true" t="shared" si="0" ref="N8:N25">SUM(B8:M8)</f>
        <v>2750.6</v>
      </c>
    </row>
    <row r="9" spans="1:14" ht="15">
      <c r="A9" s="29" t="s">
        <v>82</v>
      </c>
      <c r="B9" s="123">
        <v>358.7</v>
      </c>
      <c r="C9" s="123">
        <v>3.4</v>
      </c>
      <c r="D9" s="123" t="s">
        <v>158</v>
      </c>
      <c r="E9" s="123">
        <v>569.4</v>
      </c>
      <c r="F9" s="123">
        <v>315.1</v>
      </c>
      <c r="G9" s="123">
        <v>936.9</v>
      </c>
      <c r="H9" s="123">
        <v>83.9</v>
      </c>
      <c r="I9" s="123">
        <v>172.8</v>
      </c>
      <c r="J9" s="123">
        <v>313.9</v>
      </c>
      <c r="K9" s="123" t="s">
        <v>158</v>
      </c>
      <c r="L9" s="123">
        <v>121.6</v>
      </c>
      <c r="M9" s="123">
        <v>112.2</v>
      </c>
      <c r="N9" s="79">
        <f t="shared" si="0"/>
        <v>2987.9</v>
      </c>
    </row>
    <row r="10" spans="1:14" ht="15">
      <c r="A10" s="29" t="s">
        <v>83</v>
      </c>
      <c r="B10" s="123">
        <v>3125.8</v>
      </c>
      <c r="C10" s="123">
        <v>3299</v>
      </c>
      <c r="D10" s="123">
        <v>2785.9</v>
      </c>
      <c r="E10" s="123">
        <v>1776.6</v>
      </c>
      <c r="F10" s="123">
        <v>2033</v>
      </c>
      <c r="G10" s="123">
        <v>3684.9</v>
      </c>
      <c r="H10" s="123">
        <v>2178.3</v>
      </c>
      <c r="I10" s="123">
        <v>1932.8</v>
      </c>
      <c r="J10" s="123">
        <v>3984.3</v>
      </c>
      <c r="K10" s="123">
        <v>1097.1</v>
      </c>
      <c r="L10" s="123">
        <v>2127.1</v>
      </c>
      <c r="M10" s="123">
        <v>2069.9</v>
      </c>
      <c r="N10" s="79">
        <f t="shared" si="0"/>
        <v>30094.699999999997</v>
      </c>
    </row>
    <row r="11" spans="1:14" ht="15">
      <c r="A11" s="29" t="s">
        <v>84</v>
      </c>
      <c r="B11" s="123">
        <v>4</v>
      </c>
      <c r="C11" s="123" t="s">
        <v>158</v>
      </c>
      <c r="D11" s="123" t="s">
        <v>158</v>
      </c>
      <c r="E11" s="123" t="s">
        <v>158</v>
      </c>
      <c r="F11" s="123" t="s">
        <v>158</v>
      </c>
      <c r="G11" s="123" t="s">
        <v>158</v>
      </c>
      <c r="H11" s="123">
        <v>23.2</v>
      </c>
      <c r="I11" s="123" t="s">
        <v>158</v>
      </c>
      <c r="J11" s="123" t="s">
        <v>158</v>
      </c>
      <c r="K11" s="123" t="s">
        <v>158</v>
      </c>
      <c r="L11" s="123" t="s">
        <v>158</v>
      </c>
      <c r="M11" s="123" t="s">
        <v>158</v>
      </c>
      <c r="N11" s="79">
        <f t="shared" si="0"/>
        <v>27.2</v>
      </c>
    </row>
    <row r="12" spans="1:14" ht="15">
      <c r="A12" s="29" t="s">
        <v>85</v>
      </c>
      <c r="B12" s="123">
        <v>4535.3</v>
      </c>
      <c r="C12" s="123">
        <v>28434.5</v>
      </c>
      <c r="D12" s="123">
        <v>8764.7</v>
      </c>
      <c r="E12" s="123">
        <v>5629</v>
      </c>
      <c r="F12" s="123">
        <v>1851</v>
      </c>
      <c r="G12" s="123">
        <v>7136.4</v>
      </c>
      <c r="H12" s="123">
        <v>1767.3</v>
      </c>
      <c r="I12" s="123">
        <v>8671.9</v>
      </c>
      <c r="J12" s="123">
        <v>10935.5</v>
      </c>
      <c r="K12" s="123">
        <v>884.7</v>
      </c>
      <c r="L12" s="123">
        <v>15154.9</v>
      </c>
      <c r="M12" s="123">
        <v>3906.8</v>
      </c>
      <c r="N12" s="79">
        <f t="shared" si="0"/>
        <v>97672</v>
      </c>
    </row>
    <row r="13" spans="1:14" ht="15">
      <c r="A13" s="29" t="s">
        <v>86</v>
      </c>
      <c r="B13" s="123">
        <v>3538.4</v>
      </c>
      <c r="C13" s="123">
        <v>25746.3</v>
      </c>
      <c r="D13" s="123">
        <v>3402</v>
      </c>
      <c r="E13" s="123">
        <v>965.5</v>
      </c>
      <c r="F13" s="123">
        <v>1119.3</v>
      </c>
      <c r="G13" s="123">
        <v>5167.5</v>
      </c>
      <c r="H13" s="123">
        <v>2111.8</v>
      </c>
      <c r="I13" s="123">
        <v>4909</v>
      </c>
      <c r="J13" s="123">
        <v>2356.2</v>
      </c>
      <c r="K13" s="123">
        <v>1502.4</v>
      </c>
      <c r="L13" s="123">
        <v>1676.5</v>
      </c>
      <c r="M13" s="123">
        <v>783.1</v>
      </c>
      <c r="N13" s="79">
        <f t="shared" si="0"/>
        <v>53278</v>
      </c>
    </row>
    <row r="14" spans="1:14" ht="15">
      <c r="A14" s="29" t="s">
        <v>151</v>
      </c>
      <c r="B14" s="123" t="s">
        <v>158</v>
      </c>
      <c r="C14" s="123">
        <v>4.6</v>
      </c>
      <c r="D14" s="123">
        <v>22.1</v>
      </c>
      <c r="E14" s="123">
        <v>10.6</v>
      </c>
      <c r="F14" s="123">
        <v>18.3</v>
      </c>
      <c r="G14" s="123" t="s">
        <v>158</v>
      </c>
      <c r="H14" s="123">
        <v>7.7</v>
      </c>
      <c r="I14" s="123">
        <v>20</v>
      </c>
      <c r="J14" s="123">
        <v>30.4</v>
      </c>
      <c r="K14" s="123">
        <v>19.8</v>
      </c>
      <c r="L14" s="123" t="s">
        <v>158</v>
      </c>
      <c r="M14" s="123" t="s">
        <v>158</v>
      </c>
      <c r="N14" s="79"/>
    </row>
    <row r="15" spans="1:14" ht="15">
      <c r="A15" s="29" t="s">
        <v>87</v>
      </c>
      <c r="B15" s="123" t="s">
        <v>158</v>
      </c>
      <c r="C15" s="123">
        <v>42904.5</v>
      </c>
      <c r="D15" s="123" t="s">
        <v>158</v>
      </c>
      <c r="E15" s="123" t="s">
        <v>158</v>
      </c>
      <c r="F15" s="123" t="s">
        <v>158</v>
      </c>
      <c r="G15" s="123">
        <v>25672</v>
      </c>
      <c r="H15" s="123" t="s">
        <v>158</v>
      </c>
      <c r="I15" s="123" t="s">
        <v>158</v>
      </c>
      <c r="J15" s="123" t="s">
        <v>158</v>
      </c>
      <c r="K15" s="123" t="s">
        <v>158</v>
      </c>
      <c r="L15" s="123" t="s">
        <v>158</v>
      </c>
      <c r="M15" s="123" t="s">
        <v>158</v>
      </c>
      <c r="N15" s="79">
        <f t="shared" si="0"/>
        <v>68576.5</v>
      </c>
    </row>
    <row r="16" spans="1:14" ht="15">
      <c r="A16" s="29" t="s">
        <v>152</v>
      </c>
      <c r="B16" s="123" t="s">
        <v>158</v>
      </c>
      <c r="C16" s="123" t="s">
        <v>158</v>
      </c>
      <c r="D16" s="123" t="s">
        <v>158</v>
      </c>
      <c r="E16" s="123" t="s">
        <v>158</v>
      </c>
      <c r="F16" s="123" t="s">
        <v>158</v>
      </c>
      <c r="G16" s="123" t="s">
        <v>158</v>
      </c>
      <c r="H16" s="123" t="s">
        <v>158</v>
      </c>
      <c r="I16" s="123">
        <v>1240.9</v>
      </c>
      <c r="J16" s="123" t="s">
        <v>158</v>
      </c>
      <c r="K16" s="123" t="s">
        <v>158</v>
      </c>
      <c r="L16" s="123" t="s">
        <v>158</v>
      </c>
      <c r="M16" s="123" t="s">
        <v>158</v>
      </c>
      <c r="N16" s="79">
        <f t="shared" si="0"/>
        <v>1240.9</v>
      </c>
    </row>
    <row r="17" spans="1:14" ht="15">
      <c r="A17" s="29" t="s">
        <v>153</v>
      </c>
      <c r="B17" s="123" t="s">
        <v>158</v>
      </c>
      <c r="C17" s="123" t="s">
        <v>158</v>
      </c>
      <c r="D17" s="123" t="s">
        <v>158</v>
      </c>
      <c r="E17" s="123" t="s">
        <v>158</v>
      </c>
      <c r="F17" s="123" t="s">
        <v>158</v>
      </c>
      <c r="G17" s="123" t="s">
        <v>158</v>
      </c>
      <c r="H17" s="123" t="s">
        <v>158</v>
      </c>
      <c r="I17" s="123">
        <v>499.6</v>
      </c>
      <c r="J17" s="123" t="s">
        <v>158</v>
      </c>
      <c r="K17" s="123" t="s">
        <v>158</v>
      </c>
      <c r="L17" s="123" t="s">
        <v>158</v>
      </c>
      <c r="M17" s="123" t="s">
        <v>158</v>
      </c>
      <c r="N17" s="79"/>
    </row>
    <row r="18" spans="1:14" ht="15">
      <c r="A18" s="29" t="s">
        <v>154</v>
      </c>
      <c r="B18" s="123" t="s">
        <v>158</v>
      </c>
      <c r="C18" s="123">
        <v>15824.4</v>
      </c>
      <c r="D18" s="123" t="s">
        <v>158</v>
      </c>
      <c r="E18" s="123" t="s">
        <v>158</v>
      </c>
      <c r="F18" s="123" t="s">
        <v>158</v>
      </c>
      <c r="G18" s="123" t="s">
        <v>158</v>
      </c>
      <c r="H18" s="123" t="s">
        <v>158</v>
      </c>
      <c r="I18" s="123" t="s">
        <v>158</v>
      </c>
      <c r="J18" s="123" t="s">
        <v>158</v>
      </c>
      <c r="K18" s="123" t="s">
        <v>158</v>
      </c>
      <c r="L18" s="123" t="s">
        <v>158</v>
      </c>
      <c r="M18" s="123" t="s">
        <v>158</v>
      </c>
      <c r="N18" s="79"/>
    </row>
    <row r="19" spans="1:14" ht="15">
      <c r="A19" s="29" t="s">
        <v>88</v>
      </c>
      <c r="B19" s="123">
        <v>4311.2</v>
      </c>
      <c r="C19" s="123">
        <v>2935.5</v>
      </c>
      <c r="D19" s="123">
        <v>2296.8</v>
      </c>
      <c r="E19" s="123">
        <v>1594.1</v>
      </c>
      <c r="F19" s="123">
        <v>1329.1</v>
      </c>
      <c r="G19" s="123">
        <v>5674.5</v>
      </c>
      <c r="H19" s="123">
        <v>1845</v>
      </c>
      <c r="I19" s="123">
        <v>1932.3</v>
      </c>
      <c r="J19" s="123">
        <v>2989.2</v>
      </c>
      <c r="K19" s="123">
        <v>573.8</v>
      </c>
      <c r="L19" s="123">
        <v>2453</v>
      </c>
      <c r="M19" s="123">
        <v>1094</v>
      </c>
      <c r="N19" s="79">
        <f t="shared" si="0"/>
        <v>29028.5</v>
      </c>
    </row>
    <row r="20" spans="1:14" ht="15">
      <c r="A20" s="29" t="s">
        <v>155</v>
      </c>
      <c r="B20" s="123">
        <v>60</v>
      </c>
      <c r="C20" s="123">
        <v>596.4</v>
      </c>
      <c r="D20" s="123">
        <v>205</v>
      </c>
      <c r="E20" s="123">
        <v>279.8</v>
      </c>
      <c r="F20" s="123">
        <v>240</v>
      </c>
      <c r="G20" s="123">
        <v>713.5</v>
      </c>
      <c r="H20" s="123">
        <v>152.3</v>
      </c>
      <c r="I20" s="123">
        <v>143.1</v>
      </c>
      <c r="J20" s="123">
        <v>240</v>
      </c>
      <c r="K20" s="123">
        <v>145.9</v>
      </c>
      <c r="L20" s="123">
        <v>60</v>
      </c>
      <c r="M20" s="123">
        <v>180</v>
      </c>
      <c r="N20" s="79">
        <f t="shared" si="0"/>
        <v>3016</v>
      </c>
    </row>
    <row r="21" spans="1:14" ht="15">
      <c r="A21" s="29" t="s">
        <v>156</v>
      </c>
      <c r="B21" s="123">
        <v>21.9</v>
      </c>
      <c r="C21" s="123">
        <v>26.3</v>
      </c>
      <c r="D21" s="123" t="s">
        <v>158</v>
      </c>
      <c r="E21" s="123">
        <v>313.1</v>
      </c>
      <c r="F21" s="123">
        <v>41.2</v>
      </c>
      <c r="G21" s="123">
        <v>42</v>
      </c>
      <c r="H21" s="123">
        <v>31.7</v>
      </c>
      <c r="I21" s="123">
        <v>37.3</v>
      </c>
      <c r="J21" s="123">
        <v>58.4</v>
      </c>
      <c r="K21" s="123" t="s">
        <v>158</v>
      </c>
      <c r="L21" s="123">
        <v>20.5</v>
      </c>
      <c r="M21" s="123">
        <v>8.4</v>
      </c>
      <c r="N21" s="79">
        <f t="shared" si="0"/>
        <v>600.8</v>
      </c>
    </row>
    <row r="22" spans="1:14" ht="15">
      <c r="A22" s="29" t="s">
        <v>157</v>
      </c>
      <c r="B22" s="123">
        <v>62.2</v>
      </c>
      <c r="C22" s="123">
        <v>125</v>
      </c>
      <c r="D22" s="123" t="s">
        <v>158</v>
      </c>
      <c r="E22" s="123" t="s">
        <v>158</v>
      </c>
      <c r="F22" s="123" t="s">
        <v>158</v>
      </c>
      <c r="G22" s="123">
        <v>363.7</v>
      </c>
      <c r="H22" s="123">
        <v>20.4</v>
      </c>
      <c r="I22" s="123">
        <v>330.1</v>
      </c>
      <c r="J22" s="123">
        <v>196</v>
      </c>
      <c r="K22" s="123" t="s">
        <v>158</v>
      </c>
      <c r="L22" s="123" t="s">
        <v>158</v>
      </c>
      <c r="M22" s="123" t="s">
        <v>158</v>
      </c>
      <c r="N22" s="79"/>
    </row>
    <row r="23" spans="1:14" ht="15">
      <c r="A23" s="29" t="s">
        <v>89</v>
      </c>
      <c r="B23" s="124">
        <v>67</v>
      </c>
      <c r="C23" s="124">
        <v>96.8</v>
      </c>
      <c r="D23" s="124">
        <v>135</v>
      </c>
      <c r="E23" s="124">
        <v>148.8</v>
      </c>
      <c r="F23" s="124">
        <v>94.3</v>
      </c>
      <c r="G23" s="124">
        <v>212.4</v>
      </c>
      <c r="H23" s="124">
        <v>427.3</v>
      </c>
      <c r="I23" s="124">
        <v>1184.4</v>
      </c>
      <c r="J23" s="124">
        <v>667.3</v>
      </c>
      <c r="K23" s="124">
        <v>235.4</v>
      </c>
      <c r="L23" s="124">
        <v>308.3</v>
      </c>
      <c r="M23" s="124">
        <v>93.2</v>
      </c>
      <c r="N23" s="79">
        <f t="shared" si="0"/>
        <v>3670.2000000000003</v>
      </c>
    </row>
    <row r="24" spans="1:14" ht="15">
      <c r="A24" s="29" t="s">
        <v>90</v>
      </c>
      <c r="B24" s="123">
        <v>1051.9</v>
      </c>
      <c r="C24" s="123">
        <v>1631.2</v>
      </c>
      <c r="D24" s="123">
        <v>0</v>
      </c>
      <c r="E24" s="123">
        <v>3045.5</v>
      </c>
      <c r="F24" s="123">
        <v>605.1</v>
      </c>
      <c r="G24" s="123">
        <v>2233</v>
      </c>
      <c r="H24" s="123">
        <v>513.7</v>
      </c>
      <c r="I24" s="123">
        <v>6141.8</v>
      </c>
      <c r="J24" s="123">
        <v>3699</v>
      </c>
      <c r="K24" s="123"/>
      <c r="L24" s="123">
        <v>5338.6</v>
      </c>
      <c r="M24" s="123">
        <v>7433.6</v>
      </c>
      <c r="N24" s="79">
        <f t="shared" si="0"/>
        <v>31693.4</v>
      </c>
    </row>
    <row r="25" spans="1:14" ht="15">
      <c r="A25" s="29" t="s">
        <v>91</v>
      </c>
      <c r="B25" s="123">
        <v>3016.5</v>
      </c>
      <c r="C25" s="123">
        <v>1509.9</v>
      </c>
      <c r="D25" s="123">
        <v>526.7</v>
      </c>
      <c r="E25" s="123">
        <v>2206.6</v>
      </c>
      <c r="F25" s="123">
        <v>1275</v>
      </c>
      <c r="G25" s="123">
        <v>7460.4</v>
      </c>
      <c r="H25" s="123">
        <v>660.6</v>
      </c>
      <c r="I25" s="123">
        <v>1226.9</v>
      </c>
      <c r="J25" s="123">
        <v>1707</v>
      </c>
      <c r="K25" s="123">
        <v>813.2</v>
      </c>
      <c r="L25" s="123">
        <v>2553.3</v>
      </c>
      <c r="M25" s="123">
        <v>3362.5</v>
      </c>
      <c r="N25" s="80">
        <f t="shared" si="0"/>
        <v>26318.6</v>
      </c>
    </row>
    <row r="26" spans="1:14" ht="15">
      <c r="A26" s="30" t="s">
        <v>92</v>
      </c>
      <c r="B26" s="80">
        <f aca="true" t="shared" si="1" ref="B26:M26">SUM(B4:B25)</f>
        <v>42193.1</v>
      </c>
      <c r="C26" s="80">
        <f t="shared" si="1"/>
        <v>149750.19999999998</v>
      </c>
      <c r="D26" s="80">
        <f t="shared" si="1"/>
        <v>39691.4</v>
      </c>
      <c r="E26" s="80">
        <f t="shared" si="1"/>
        <v>30621.39999999999</v>
      </c>
      <c r="F26" s="80">
        <f t="shared" si="1"/>
        <v>23513.699999999997</v>
      </c>
      <c r="G26" s="80">
        <f t="shared" si="1"/>
        <v>78059.09999999999</v>
      </c>
      <c r="H26" s="80">
        <f t="shared" si="1"/>
        <v>27866.8</v>
      </c>
      <c r="I26" s="80">
        <f t="shared" si="1"/>
        <v>47372.00000000001</v>
      </c>
      <c r="J26" s="80">
        <f t="shared" si="1"/>
        <v>57047.5</v>
      </c>
      <c r="K26" s="80">
        <f t="shared" si="1"/>
        <v>14565.199999999999</v>
      </c>
      <c r="L26" s="80">
        <f t="shared" si="1"/>
        <v>52580.9</v>
      </c>
      <c r="M26" s="80">
        <f t="shared" si="1"/>
        <v>32922.6</v>
      </c>
      <c r="N26" s="80">
        <f>SUM(B26:M26)</f>
        <v>596183.8999999999</v>
      </c>
    </row>
    <row r="27" spans="2:14" ht="15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2"/>
    </row>
    <row r="28" spans="1:16" ht="15">
      <c r="A28" s="98" t="s">
        <v>93</v>
      </c>
      <c r="B28" s="82">
        <f>SUM(B4+B6)</f>
        <v>21681.9</v>
      </c>
      <c r="C28" s="82">
        <f>SUM(C4+C6+C37+C38)</f>
        <v>59625.2</v>
      </c>
      <c r="D28" s="82">
        <f aca="true" t="shared" si="2" ref="D28:L28">SUM(D4+D6)</f>
        <v>20609.7</v>
      </c>
      <c r="E28" s="82">
        <f t="shared" si="2"/>
        <v>13690.099999999999</v>
      </c>
      <c r="F28" s="82">
        <f t="shared" si="2"/>
        <v>14178.9</v>
      </c>
      <c r="G28" s="82">
        <f>SUM(G4+G6+G37+G38)</f>
        <v>34218.8</v>
      </c>
      <c r="H28" s="82">
        <f t="shared" si="2"/>
        <v>17499</v>
      </c>
      <c r="I28" s="82">
        <f t="shared" si="2"/>
        <v>18250.4</v>
      </c>
      <c r="J28" s="82">
        <f t="shared" si="2"/>
        <v>29161.6</v>
      </c>
      <c r="K28" s="82">
        <f t="shared" si="2"/>
        <v>9035.2</v>
      </c>
      <c r="L28" s="82">
        <f t="shared" si="2"/>
        <v>21747</v>
      </c>
      <c r="M28" s="82">
        <f>SUM(M4+M6)</f>
        <v>13494.2</v>
      </c>
      <c r="N28" s="81"/>
      <c r="O28" s="31"/>
      <c r="P28" s="31"/>
    </row>
    <row r="29" spans="1:16" ht="15">
      <c r="A29" s="99">
        <v>223</v>
      </c>
      <c r="B29" s="113">
        <f>SUM(B10)</f>
        <v>3125.8</v>
      </c>
      <c r="C29" s="82">
        <f>SUM(C10+C39)</f>
        <v>4754</v>
      </c>
      <c r="D29" s="82">
        <f aca="true" t="shared" si="3" ref="D29:L29">SUM(D10)</f>
        <v>2785.9</v>
      </c>
      <c r="E29" s="82">
        <f t="shared" si="3"/>
        <v>1776.6</v>
      </c>
      <c r="F29" s="82">
        <f t="shared" si="3"/>
        <v>2033</v>
      </c>
      <c r="G29" s="82">
        <f>SUM(G10+G39)</f>
        <v>6420.6</v>
      </c>
      <c r="H29" s="82">
        <f t="shared" si="3"/>
        <v>2178.3</v>
      </c>
      <c r="I29" s="82">
        <f t="shared" si="3"/>
        <v>1932.8</v>
      </c>
      <c r="J29" s="82">
        <f t="shared" si="3"/>
        <v>3984.3</v>
      </c>
      <c r="K29" s="82">
        <f t="shared" si="3"/>
        <v>1097.1</v>
      </c>
      <c r="L29" s="82">
        <f t="shared" si="3"/>
        <v>2127.1</v>
      </c>
      <c r="M29" s="82">
        <f>SUM(M10+M39)</f>
        <v>2069.9</v>
      </c>
      <c r="N29" s="82"/>
      <c r="O29" s="32"/>
      <c r="P29" s="31"/>
    </row>
    <row r="30" spans="1:16" ht="15">
      <c r="A30" s="99" t="s">
        <v>94</v>
      </c>
      <c r="B30" s="82">
        <f>SUM(B28/B26)</f>
        <v>0.5138731214345474</v>
      </c>
      <c r="C30" s="82">
        <f>SUM(C28/C26)</f>
        <v>0.3981644097971155</v>
      </c>
      <c r="D30" s="82">
        <f aca="true" t="shared" si="4" ref="D30:M30">SUM(D28/D26)</f>
        <v>0.51924850219443</v>
      </c>
      <c r="E30" s="82">
        <f t="shared" si="4"/>
        <v>0.44707622773615846</v>
      </c>
      <c r="F30" s="82">
        <f t="shared" si="4"/>
        <v>0.6030059071945292</v>
      </c>
      <c r="G30" s="82">
        <f t="shared" si="4"/>
        <v>0.438370414211796</v>
      </c>
      <c r="H30" s="82">
        <f t="shared" si="4"/>
        <v>0.6279515409017182</v>
      </c>
      <c r="I30" s="82">
        <f t="shared" si="4"/>
        <v>0.3852571139069492</v>
      </c>
      <c r="J30" s="82">
        <f t="shared" si="4"/>
        <v>0.5111810333494018</v>
      </c>
      <c r="K30" s="82">
        <f t="shared" si="4"/>
        <v>0.6203279048691402</v>
      </c>
      <c r="L30" s="82">
        <f t="shared" si="4"/>
        <v>0.4135912470117476</v>
      </c>
      <c r="M30" s="82">
        <f t="shared" si="4"/>
        <v>0.40987649821095545</v>
      </c>
      <c r="N30" s="83">
        <f>SUM(B30:M30)</f>
        <v>5.887923920818489</v>
      </c>
      <c r="O30" s="33">
        <f>SUM(N30/12)</f>
        <v>0.4906603267348741</v>
      </c>
      <c r="P30" s="34" t="s">
        <v>94</v>
      </c>
    </row>
    <row r="31" spans="1:19" ht="15">
      <c r="A31" s="99" t="s">
        <v>95</v>
      </c>
      <c r="B31" s="82">
        <f>SUM(B29/B26)</f>
        <v>0.07408320317777078</v>
      </c>
      <c r="C31" s="82">
        <f aca="true" t="shared" si="5" ref="C31:M31">SUM(C29/C26)</f>
        <v>0.03174620134063261</v>
      </c>
      <c r="D31" s="82">
        <f t="shared" si="5"/>
        <v>0.0701890081982495</v>
      </c>
      <c r="E31" s="82">
        <f t="shared" si="5"/>
        <v>0.05801824867576272</v>
      </c>
      <c r="F31" s="82">
        <f t="shared" si="5"/>
        <v>0.08646023382113407</v>
      </c>
      <c r="G31" s="82">
        <f t="shared" si="5"/>
        <v>0.08225306210294508</v>
      </c>
      <c r="H31" s="82">
        <f t="shared" si="5"/>
        <v>0.07816828627614222</v>
      </c>
      <c r="I31" s="82">
        <f t="shared" si="5"/>
        <v>0.0408004728531622</v>
      </c>
      <c r="J31" s="82">
        <f t="shared" si="5"/>
        <v>0.06984179850124896</v>
      </c>
      <c r="K31" s="82">
        <f t="shared" si="5"/>
        <v>0.07532337352044599</v>
      </c>
      <c r="L31" s="82">
        <f t="shared" si="5"/>
        <v>0.04045385301506821</v>
      </c>
      <c r="M31" s="82">
        <f t="shared" si="5"/>
        <v>0.06287170515086901</v>
      </c>
      <c r="N31" s="83">
        <f>SUM(B31:M31)</f>
        <v>0.7702094466334314</v>
      </c>
      <c r="O31" s="33">
        <f>SUM(N31/12)</f>
        <v>0.06418412055278595</v>
      </c>
      <c r="P31" s="34" t="s">
        <v>95</v>
      </c>
      <c r="S31" s="101"/>
    </row>
    <row r="32" spans="1:16" ht="1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31"/>
      <c r="P32" s="31"/>
    </row>
    <row r="33" spans="1:16" ht="15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31"/>
      <c r="P33" s="31"/>
    </row>
    <row r="34" spans="1:14" ht="15">
      <c r="A34" s="81" t="s">
        <v>114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</row>
    <row r="35" spans="1:14" ht="15">
      <c r="A35" s="84">
        <v>241</v>
      </c>
      <c r="B35" s="84"/>
      <c r="C35" s="85">
        <f>C15</f>
        <v>42904.5</v>
      </c>
      <c r="D35" s="84"/>
      <c r="E35" s="84"/>
      <c r="F35" s="84"/>
      <c r="G35" s="85">
        <f>G15</f>
        <v>25672</v>
      </c>
      <c r="H35" s="84"/>
      <c r="I35" s="84"/>
      <c r="J35" s="84"/>
      <c r="K35" s="84"/>
      <c r="L35" s="84"/>
      <c r="M35" s="84"/>
      <c r="N35" s="85">
        <f>C35+G35</f>
        <v>68576.5</v>
      </c>
    </row>
    <row r="36" spans="1:14" ht="15">
      <c r="A36" s="81" t="s">
        <v>115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</row>
    <row r="37" spans="1:14" ht="15">
      <c r="A37" s="84">
        <v>211</v>
      </c>
      <c r="B37" s="84"/>
      <c r="C37" s="84">
        <v>26168.6</v>
      </c>
      <c r="D37" s="84"/>
      <c r="E37" s="84"/>
      <c r="F37" s="84"/>
      <c r="G37" s="84">
        <v>12431.5</v>
      </c>
      <c r="H37" s="84"/>
      <c r="I37" s="84"/>
      <c r="J37" s="84"/>
      <c r="K37" s="84"/>
      <c r="L37" s="84"/>
      <c r="M37" s="84"/>
      <c r="N37" s="84"/>
    </row>
    <row r="38" spans="1:14" ht="15">
      <c r="A38" s="84">
        <v>213</v>
      </c>
      <c r="B38" s="84"/>
      <c r="C38" s="84">
        <v>7746.1</v>
      </c>
      <c r="D38" s="84"/>
      <c r="E38" s="84"/>
      <c r="F38" s="84"/>
      <c r="G38" s="84">
        <v>3670</v>
      </c>
      <c r="H38" s="84"/>
      <c r="I38" s="84"/>
      <c r="J38" s="84"/>
      <c r="K38" s="84"/>
      <c r="L38" s="84"/>
      <c r="M38" s="84"/>
      <c r="N38" s="84"/>
    </row>
    <row r="39" spans="1:14" ht="15">
      <c r="A39" s="84">
        <v>223</v>
      </c>
      <c r="B39" s="84"/>
      <c r="C39" s="84">
        <v>1455</v>
      </c>
      <c r="D39" s="84"/>
      <c r="E39" s="84"/>
      <c r="F39" s="84"/>
      <c r="G39" s="84">
        <v>2735.7</v>
      </c>
      <c r="H39" s="84"/>
      <c r="I39" s="84"/>
      <c r="J39" s="84"/>
      <c r="K39" s="84"/>
      <c r="L39" s="84"/>
      <c r="M39" s="84"/>
      <c r="N39" s="84"/>
    </row>
    <row r="40" spans="1:7" ht="15">
      <c r="A40" s="81"/>
      <c r="C40">
        <f>SUM(C37:C39)</f>
        <v>35369.7</v>
      </c>
      <c r="G40">
        <f>SUM(G37:G39)</f>
        <v>18837.2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15.00390625" style="0" customWidth="1"/>
    <col min="2" max="2" width="12.00390625" style="0" customWidth="1"/>
    <col min="3" max="3" width="11.421875" style="0" customWidth="1"/>
    <col min="4" max="4" width="11.421875" style="0" bestFit="1" customWidth="1"/>
    <col min="5" max="5" width="11.421875" style="0" customWidth="1"/>
    <col min="6" max="10" width="11.421875" style="0" bestFit="1" customWidth="1"/>
    <col min="11" max="11" width="8.8515625" style="0" customWidth="1"/>
    <col min="12" max="13" width="11.421875" style="0" bestFit="1" customWidth="1"/>
    <col min="14" max="14" width="10.8515625" style="0" bestFit="1" customWidth="1"/>
    <col min="16" max="16" width="11.8515625" style="0" bestFit="1" customWidth="1"/>
  </cols>
  <sheetData>
    <row r="1" spans="1:14" ht="18.75">
      <c r="A1" s="141" t="s">
        <v>160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30">
      <c r="A2" s="86" t="s">
        <v>96</v>
      </c>
      <c r="B2" s="87" t="s">
        <v>75</v>
      </c>
      <c r="C2" s="91" t="s">
        <v>1</v>
      </c>
      <c r="D2" s="87" t="s">
        <v>9</v>
      </c>
      <c r="E2" s="91" t="s">
        <v>7</v>
      </c>
      <c r="F2" s="87" t="s">
        <v>10</v>
      </c>
      <c r="G2" s="87" t="s">
        <v>14</v>
      </c>
      <c r="H2" s="87" t="s">
        <v>76</v>
      </c>
      <c r="I2" s="87" t="s">
        <v>2</v>
      </c>
      <c r="J2" s="87" t="s">
        <v>6</v>
      </c>
      <c r="K2" s="87" t="s">
        <v>11</v>
      </c>
      <c r="L2" s="87" t="s">
        <v>3</v>
      </c>
      <c r="M2" s="87" t="s">
        <v>4</v>
      </c>
      <c r="N2" s="87" t="s">
        <v>77</v>
      </c>
    </row>
    <row r="3" spans="1:16" ht="15.75">
      <c r="A3" s="88" t="s">
        <v>97</v>
      </c>
      <c r="B3" s="123">
        <v>12811.9</v>
      </c>
      <c r="C3" s="123">
        <v>29118.4</v>
      </c>
      <c r="D3" s="123">
        <v>16598</v>
      </c>
      <c r="E3" s="123">
        <v>11905.1</v>
      </c>
      <c r="F3" s="123">
        <v>10772</v>
      </c>
      <c r="G3" s="123">
        <v>22376.7</v>
      </c>
      <c r="H3" s="123">
        <v>12176.2</v>
      </c>
      <c r="I3" s="123">
        <v>11222.6</v>
      </c>
      <c r="J3" s="123">
        <v>19659</v>
      </c>
      <c r="K3" s="123">
        <v>6067.8</v>
      </c>
      <c r="L3" s="123">
        <v>15901.9</v>
      </c>
      <c r="M3" s="123">
        <v>13283.2</v>
      </c>
      <c r="N3" s="104">
        <f>SUM(B3:M3)</f>
        <v>181892.80000000002</v>
      </c>
      <c r="O3" s="38"/>
      <c r="P3" s="103"/>
    </row>
    <row r="4" spans="1:16" ht="15.75">
      <c r="A4" s="88" t="s">
        <v>116</v>
      </c>
      <c r="B4" s="123">
        <v>196.7</v>
      </c>
      <c r="C4" s="123">
        <v>461.2</v>
      </c>
      <c r="D4" s="123">
        <v>217.8</v>
      </c>
      <c r="E4" s="123">
        <v>217.8</v>
      </c>
      <c r="F4" s="123">
        <v>217.8</v>
      </c>
      <c r="G4" s="123">
        <v>453.1</v>
      </c>
      <c r="H4" s="123">
        <v>217.8</v>
      </c>
      <c r="I4" s="123">
        <v>217.8</v>
      </c>
      <c r="J4" s="123">
        <v>217.8</v>
      </c>
      <c r="K4" s="123">
        <v>217.8</v>
      </c>
      <c r="L4" s="123">
        <v>195.6</v>
      </c>
      <c r="M4" s="123">
        <v>217.8</v>
      </c>
      <c r="N4" s="104">
        <f aca="true" t="shared" si="0" ref="N4:N12">SUM(B4:M4)</f>
        <v>3049.0000000000005</v>
      </c>
      <c r="O4" s="38"/>
      <c r="P4" s="103"/>
    </row>
    <row r="5" spans="1:16" ht="15.75">
      <c r="A5" s="88" t="s">
        <v>98</v>
      </c>
      <c r="B5" s="123">
        <v>1697</v>
      </c>
      <c r="C5" s="123">
        <v>380.1</v>
      </c>
      <c r="D5" s="123">
        <v>184.9</v>
      </c>
      <c r="E5" s="123">
        <v>360.8</v>
      </c>
      <c r="F5" s="123">
        <v>75.2</v>
      </c>
      <c r="G5" s="123">
        <v>569.1</v>
      </c>
      <c r="H5" s="123">
        <v>171.4</v>
      </c>
      <c r="I5" s="123">
        <v>502.3</v>
      </c>
      <c r="J5" s="123">
        <v>166.1</v>
      </c>
      <c r="K5" s="123">
        <v>19</v>
      </c>
      <c r="L5" s="123">
        <v>257.9</v>
      </c>
      <c r="M5" s="123">
        <v>155.8</v>
      </c>
      <c r="N5" s="104">
        <f t="shared" si="0"/>
        <v>4539.6</v>
      </c>
      <c r="O5" s="38"/>
      <c r="P5" s="103"/>
    </row>
    <row r="6" spans="1:16" ht="15.75">
      <c r="A6" s="88" t="s">
        <v>99</v>
      </c>
      <c r="B6" s="123">
        <v>4863.3</v>
      </c>
      <c r="C6" s="123">
        <v>22965</v>
      </c>
      <c r="D6" s="123">
        <v>6235.8</v>
      </c>
      <c r="E6" s="123">
        <v>5370.7</v>
      </c>
      <c r="F6" s="123">
        <v>1826.4</v>
      </c>
      <c r="G6" s="123">
        <v>9333.6</v>
      </c>
      <c r="H6" s="123">
        <v>2360</v>
      </c>
      <c r="I6" s="123">
        <v>4025</v>
      </c>
      <c r="J6" s="123">
        <v>6337.5</v>
      </c>
      <c r="K6" s="123">
        <v>914.8</v>
      </c>
      <c r="L6" s="123">
        <v>6439.9</v>
      </c>
      <c r="M6" s="123">
        <v>3350.6</v>
      </c>
      <c r="N6" s="104">
        <f t="shared" si="0"/>
        <v>74022.6</v>
      </c>
      <c r="O6" s="38"/>
      <c r="P6" s="103"/>
    </row>
    <row r="7" spans="1:16" ht="15.75">
      <c r="A7" s="88" t="s">
        <v>100</v>
      </c>
      <c r="B7" s="123">
        <v>6361.1</v>
      </c>
      <c r="C7" s="123">
        <v>52961.8</v>
      </c>
      <c r="D7" s="123">
        <v>3995.8</v>
      </c>
      <c r="E7" s="123">
        <v>4537.8</v>
      </c>
      <c r="F7" s="123">
        <v>2002.3</v>
      </c>
      <c r="G7" s="123">
        <v>14527.4</v>
      </c>
      <c r="H7" s="123">
        <v>521</v>
      </c>
      <c r="I7" s="123">
        <v>10658.1</v>
      </c>
      <c r="J7" s="123">
        <v>6710.3</v>
      </c>
      <c r="K7" s="123">
        <v>1181.7</v>
      </c>
      <c r="L7" s="123">
        <v>14046</v>
      </c>
      <c r="M7" s="123">
        <v>10570.3</v>
      </c>
      <c r="N7" s="104">
        <f t="shared" si="0"/>
        <v>128073.6</v>
      </c>
      <c r="O7" s="38"/>
      <c r="P7" s="103"/>
    </row>
    <row r="8" spans="1:16" ht="15.75">
      <c r="A8" s="88" t="s">
        <v>101</v>
      </c>
      <c r="B8" s="123">
        <v>1.2</v>
      </c>
      <c r="C8" s="123">
        <v>762.4</v>
      </c>
      <c r="D8" s="123">
        <v>1.8</v>
      </c>
      <c r="E8" s="123">
        <v>1.1</v>
      </c>
      <c r="F8" s="123">
        <v>1</v>
      </c>
      <c r="G8" s="123">
        <v>3.8</v>
      </c>
      <c r="H8" s="123">
        <v>1.2</v>
      </c>
      <c r="I8" s="123">
        <v>1.4</v>
      </c>
      <c r="J8" s="123">
        <v>2.3</v>
      </c>
      <c r="K8" s="123">
        <v>0.4</v>
      </c>
      <c r="L8" s="123">
        <v>2.1</v>
      </c>
      <c r="M8" s="123">
        <v>204.2</v>
      </c>
      <c r="N8" s="104">
        <f t="shared" si="0"/>
        <v>982.8999999999999</v>
      </c>
      <c r="O8" s="38"/>
      <c r="P8" s="103"/>
    </row>
    <row r="9" spans="1:16" ht="15.75">
      <c r="A9" s="88" t="s">
        <v>102</v>
      </c>
      <c r="B9" s="123">
        <v>308.3</v>
      </c>
      <c r="C9" s="123">
        <v>851.8</v>
      </c>
      <c r="D9" s="123">
        <v>79.6</v>
      </c>
      <c r="E9" s="123">
        <v>373.4</v>
      </c>
      <c r="F9" s="123">
        <v>239.3</v>
      </c>
      <c r="G9" s="123">
        <v>190</v>
      </c>
      <c r="H9" s="123">
        <v>448.3</v>
      </c>
      <c r="I9" s="123">
        <v>394.6</v>
      </c>
      <c r="J9" s="123">
        <v>721</v>
      </c>
      <c r="K9" s="123">
        <v>376.2</v>
      </c>
      <c r="L9" s="123">
        <v>750.7</v>
      </c>
      <c r="M9" s="123">
        <v>282</v>
      </c>
      <c r="N9" s="104">
        <f t="shared" si="0"/>
        <v>5015.2</v>
      </c>
      <c r="O9" s="38"/>
      <c r="P9" s="103"/>
    </row>
    <row r="10" spans="1:16" ht="15.75">
      <c r="A10" s="88" t="s">
        <v>103</v>
      </c>
      <c r="B10" s="123">
        <v>13597.8</v>
      </c>
      <c r="C10" s="123">
        <v>38304.9</v>
      </c>
      <c r="D10" s="123">
        <v>11599.2</v>
      </c>
      <c r="E10" s="123">
        <v>6477.2</v>
      </c>
      <c r="F10" s="123">
        <v>7541.1</v>
      </c>
      <c r="G10" s="123">
        <v>28270.2</v>
      </c>
      <c r="H10" s="123">
        <v>10968.7</v>
      </c>
      <c r="I10" s="123">
        <v>19199.5</v>
      </c>
      <c r="J10" s="123">
        <v>22227</v>
      </c>
      <c r="K10" s="123">
        <v>5161.7</v>
      </c>
      <c r="L10" s="123">
        <v>13417.5</v>
      </c>
      <c r="M10" s="123">
        <v>4593.2</v>
      </c>
      <c r="N10" s="104">
        <f t="shared" si="0"/>
        <v>181358</v>
      </c>
      <c r="O10" s="38"/>
      <c r="P10" s="103"/>
    </row>
    <row r="11" spans="1:16" ht="15.75">
      <c r="A11" s="88" t="s">
        <v>104</v>
      </c>
      <c r="B11" s="123">
        <v>60</v>
      </c>
      <c r="C11" s="123">
        <v>331.6</v>
      </c>
      <c r="D11" s="123">
        <v>205</v>
      </c>
      <c r="E11" s="123">
        <v>279.8</v>
      </c>
      <c r="F11" s="123">
        <v>240</v>
      </c>
      <c r="G11" s="123">
        <v>505</v>
      </c>
      <c r="H11" s="123">
        <v>152.3</v>
      </c>
      <c r="I11" s="123">
        <v>143.1</v>
      </c>
      <c r="J11" s="123">
        <v>240</v>
      </c>
      <c r="K11" s="123">
        <v>145.9</v>
      </c>
      <c r="L11" s="123">
        <v>60</v>
      </c>
      <c r="M11" s="123">
        <v>180</v>
      </c>
      <c r="N11" s="104">
        <f t="shared" si="0"/>
        <v>2542.7000000000003</v>
      </c>
      <c r="O11" s="38"/>
      <c r="P11" s="103"/>
    </row>
    <row r="12" spans="1:16" ht="15.75">
      <c r="A12" s="88" t="s">
        <v>105</v>
      </c>
      <c r="B12" s="123">
        <v>2295.8</v>
      </c>
      <c r="C12" s="123">
        <v>3613</v>
      </c>
      <c r="D12" s="123">
        <v>573.6</v>
      </c>
      <c r="E12" s="123">
        <v>1097.6</v>
      </c>
      <c r="F12" s="123">
        <v>598.6</v>
      </c>
      <c r="G12" s="123">
        <v>1830.2</v>
      </c>
      <c r="H12" s="123">
        <v>849.9</v>
      </c>
      <c r="I12" s="123">
        <v>1007.5</v>
      </c>
      <c r="J12" s="123">
        <v>766.5</v>
      </c>
      <c r="K12" s="123">
        <v>479.9</v>
      </c>
      <c r="L12" s="123">
        <v>1509.4</v>
      </c>
      <c r="M12" s="123">
        <v>85.5</v>
      </c>
      <c r="N12" s="104">
        <f t="shared" si="0"/>
        <v>14707.5</v>
      </c>
      <c r="O12" s="38"/>
      <c r="P12" s="103"/>
    </row>
    <row r="13" spans="1:16" ht="15.75">
      <c r="A13" s="89" t="s">
        <v>92</v>
      </c>
      <c r="B13" s="104">
        <f aca="true" t="shared" si="1" ref="B13:M13">SUM(B3:B12)</f>
        <v>42193.100000000006</v>
      </c>
      <c r="C13" s="104">
        <f t="shared" si="1"/>
        <v>149750.2</v>
      </c>
      <c r="D13" s="104">
        <f t="shared" si="1"/>
        <v>39691.49999999999</v>
      </c>
      <c r="E13" s="104">
        <f t="shared" si="1"/>
        <v>30621.299999999996</v>
      </c>
      <c r="F13" s="104">
        <f t="shared" si="1"/>
        <v>23513.699999999997</v>
      </c>
      <c r="G13" s="104">
        <f t="shared" si="1"/>
        <v>78059.1</v>
      </c>
      <c r="H13" s="104">
        <f t="shared" si="1"/>
        <v>27866.8</v>
      </c>
      <c r="I13" s="104">
        <f t="shared" si="1"/>
        <v>47371.9</v>
      </c>
      <c r="J13" s="104">
        <f t="shared" si="1"/>
        <v>57047.5</v>
      </c>
      <c r="K13" s="104">
        <f t="shared" si="1"/>
        <v>14565.2</v>
      </c>
      <c r="L13" s="104">
        <f t="shared" si="1"/>
        <v>52581</v>
      </c>
      <c r="M13" s="104">
        <f t="shared" si="1"/>
        <v>32922.6</v>
      </c>
      <c r="N13" s="104">
        <f>SUM(B13:M13)</f>
        <v>596183.9</v>
      </c>
      <c r="O13" s="38"/>
      <c r="P13" s="103"/>
    </row>
    <row r="14" spans="1:14" ht="15.75">
      <c r="A14" s="90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</row>
    <row r="15" spans="1:14" ht="18.75">
      <c r="A15" s="142" t="s">
        <v>109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</row>
    <row r="16" spans="1:16" ht="15">
      <c r="A16" s="65" t="s">
        <v>106</v>
      </c>
      <c r="B16" s="85">
        <f>SUM(B3+B10)</f>
        <v>26409.699999999997</v>
      </c>
      <c r="C16" s="85">
        <f aca="true" t="shared" si="2" ref="C16:N16">SUM(C3+C10)</f>
        <v>67423.3</v>
      </c>
      <c r="D16" s="85">
        <f t="shared" si="2"/>
        <v>28197.2</v>
      </c>
      <c r="E16" s="85">
        <f t="shared" si="2"/>
        <v>18382.3</v>
      </c>
      <c r="F16" s="85">
        <f t="shared" si="2"/>
        <v>18313.1</v>
      </c>
      <c r="G16" s="85">
        <f t="shared" si="2"/>
        <v>50646.9</v>
      </c>
      <c r="H16" s="85">
        <f t="shared" si="2"/>
        <v>23144.9</v>
      </c>
      <c r="I16" s="85">
        <f t="shared" si="2"/>
        <v>30422.1</v>
      </c>
      <c r="J16" s="85">
        <f t="shared" si="2"/>
        <v>41886</v>
      </c>
      <c r="K16" s="85">
        <f t="shared" si="2"/>
        <v>11229.5</v>
      </c>
      <c r="L16" s="85">
        <f t="shared" si="2"/>
        <v>29319.4</v>
      </c>
      <c r="M16" s="85">
        <f t="shared" si="2"/>
        <v>17876.4</v>
      </c>
      <c r="N16" s="85">
        <f t="shared" si="2"/>
        <v>363250.80000000005</v>
      </c>
      <c r="O16" s="33">
        <f>SUM(N16/N13)</f>
        <v>0.6092932063411978</v>
      </c>
      <c r="P16" s="34" t="s">
        <v>107</v>
      </c>
    </row>
    <row r="17" spans="1:14" ht="1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2">
        <f>SUM(B16:M16)</f>
        <v>363250.80000000005</v>
      </c>
    </row>
    <row r="18" spans="1:14" ht="1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</row>
    <row r="19" spans="1:14" ht="18.75">
      <c r="A19" s="142" t="s">
        <v>110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</row>
    <row r="20" spans="1:14" ht="15">
      <c r="A20" s="91" t="s">
        <v>113</v>
      </c>
      <c r="B20" s="92" t="s">
        <v>75</v>
      </c>
      <c r="C20" s="92" t="s">
        <v>1</v>
      </c>
      <c r="D20" s="92" t="s">
        <v>9</v>
      </c>
      <c r="E20" s="92" t="s">
        <v>7</v>
      </c>
      <c r="F20" s="92" t="s">
        <v>10</v>
      </c>
      <c r="G20" s="92" t="s">
        <v>14</v>
      </c>
      <c r="H20" s="92" t="s">
        <v>76</v>
      </c>
      <c r="I20" s="92" t="s">
        <v>2</v>
      </c>
      <c r="J20" s="92" t="s">
        <v>6</v>
      </c>
      <c r="K20" s="92" t="s">
        <v>11</v>
      </c>
      <c r="L20" s="92" t="s">
        <v>3</v>
      </c>
      <c r="M20" s="92" t="s">
        <v>4</v>
      </c>
      <c r="N20" s="92" t="s">
        <v>77</v>
      </c>
    </row>
    <row r="21" spans="1:14" ht="15">
      <c r="A21" s="93" t="s">
        <v>120</v>
      </c>
      <c r="B21" s="121">
        <v>28.7</v>
      </c>
      <c r="C21" s="121">
        <v>2735.8</v>
      </c>
      <c r="D21" s="122"/>
      <c r="E21" s="121"/>
      <c r="F21" s="121"/>
      <c r="G21" s="122"/>
      <c r="H21" s="122"/>
      <c r="I21" s="121">
        <v>2801.9</v>
      </c>
      <c r="J21" s="121"/>
      <c r="K21" s="121"/>
      <c r="L21" s="121"/>
      <c r="M21" s="121"/>
      <c r="N21" s="80">
        <f aca="true" t="shared" si="3" ref="N21:N30">SUM(B21:M21)</f>
        <v>5566.4</v>
      </c>
    </row>
    <row r="22" spans="1:14" ht="15">
      <c r="A22" s="93" t="s">
        <v>159</v>
      </c>
      <c r="B22" s="121"/>
      <c r="C22" s="121"/>
      <c r="D22" s="122"/>
      <c r="E22" s="121"/>
      <c r="F22" s="121"/>
      <c r="G22" s="122">
        <v>200</v>
      </c>
      <c r="H22" s="122"/>
      <c r="I22" s="121"/>
      <c r="J22" s="121"/>
      <c r="K22" s="121"/>
      <c r="L22" s="121"/>
      <c r="M22" s="121"/>
      <c r="N22" s="80">
        <f t="shared" si="3"/>
        <v>200</v>
      </c>
    </row>
    <row r="23" spans="1:14" ht="15">
      <c r="A23" s="93" t="s">
        <v>121</v>
      </c>
      <c r="B23" s="121"/>
      <c r="C23" s="121">
        <v>1500</v>
      </c>
      <c r="D23" s="122"/>
      <c r="E23" s="121"/>
      <c r="F23" s="121"/>
      <c r="G23" s="122"/>
      <c r="H23" s="122"/>
      <c r="I23" s="121"/>
      <c r="J23" s="121"/>
      <c r="K23" s="121"/>
      <c r="L23" s="121"/>
      <c r="M23" s="121"/>
      <c r="N23" s="80">
        <f t="shared" si="3"/>
        <v>1500</v>
      </c>
    </row>
    <row r="24" spans="1:14" ht="15">
      <c r="A24" s="93" t="s">
        <v>122</v>
      </c>
      <c r="B24" s="121"/>
      <c r="C24" s="121"/>
      <c r="D24" s="122"/>
      <c r="E24" s="121"/>
      <c r="F24" s="121"/>
      <c r="G24" s="122"/>
      <c r="H24" s="122"/>
      <c r="I24" s="121"/>
      <c r="J24" s="121"/>
      <c r="K24" s="121"/>
      <c r="L24" s="121"/>
      <c r="M24" s="121"/>
      <c r="N24" s="80">
        <f t="shared" si="3"/>
        <v>0</v>
      </c>
    </row>
    <row r="25" spans="1:14" ht="15">
      <c r="A25" s="93" t="s">
        <v>123</v>
      </c>
      <c r="B25" s="121"/>
      <c r="C25" s="121"/>
      <c r="D25" s="122"/>
      <c r="E25" s="121"/>
      <c r="F25" s="121"/>
      <c r="G25" s="122"/>
      <c r="H25" s="122"/>
      <c r="I25" s="121"/>
      <c r="J25" s="121"/>
      <c r="K25" s="121"/>
      <c r="L25" s="121"/>
      <c r="M25" s="121"/>
      <c r="N25" s="80">
        <f t="shared" si="3"/>
        <v>0</v>
      </c>
    </row>
    <row r="26" spans="1:14" ht="15">
      <c r="A26" s="93" t="s">
        <v>124</v>
      </c>
      <c r="B26" s="121"/>
      <c r="C26" s="121"/>
      <c r="D26" s="122"/>
      <c r="E26" s="121"/>
      <c r="F26" s="121"/>
      <c r="G26" s="122"/>
      <c r="H26" s="122"/>
      <c r="I26" s="121"/>
      <c r="J26" s="121"/>
      <c r="K26" s="121"/>
      <c r="L26" s="121"/>
      <c r="M26" s="121"/>
      <c r="N26" s="80">
        <f t="shared" si="3"/>
        <v>0</v>
      </c>
    </row>
    <row r="27" spans="1:14" ht="15">
      <c r="A27" s="93" t="s">
        <v>130</v>
      </c>
      <c r="B27" s="121"/>
      <c r="C27" s="121"/>
      <c r="D27" s="122"/>
      <c r="E27" s="121"/>
      <c r="F27" s="121"/>
      <c r="G27" s="122"/>
      <c r="H27" s="122"/>
      <c r="I27" s="121"/>
      <c r="J27" s="121"/>
      <c r="K27" s="121"/>
      <c r="L27" s="121"/>
      <c r="M27" s="121"/>
      <c r="N27" s="80">
        <f t="shared" si="3"/>
        <v>0</v>
      </c>
    </row>
    <row r="28" spans="1:14" ht="15">
      <c r="A28" s="93" t="s">
        <v>131</v>
      </c>
      <c r="B28" s="121"/>
      <c r="C28" s="121"/>
      <c r="D28" s="122"/>
      <c r="E28" s="121"/>
      <c r="F28" s="121"/>
      <c r="G28" s="122"/>
      <c r="H28" s="122"/>
      <c r="I28" s="121"/>
      <c r="J28" s="121"/>
      <c r="K28" s="121"/>
      <c r="L28" s="121"/>
      <c r="M28" s="121"/>
      <c r="N28" s="80">
        <f t="shared" si="3"/>
        <v>0</v>
      </c>
    </row>
    <row r="29" spans="1:14" ht="15">
      <c r="A29" s="93" t="s">
        <v>125</v>
      </c>
      <c r="B29" s="121">
        <v>271.1</v>
      </c>
      <c r="C29" s="121"/>
      <c r="D29" s="122"/>
      <c r="E29" s="121"/>
      <c r="F29" s="121"/>
      <c r="G29" s="122"/>
      <c r="H29" s="122"/>
      <c r="I29" s="121"/>
      <c r="J29" s="121"/>
      <c r="K29" s="121"/>
      <c r="L29" s="121"/>
      <c r="M29" s="121"/>
      <c r="N29" s="80">
        <f t="shared" si="3"/>
        <v>271.1</v>
      </c>
    </row>
    <row r="30" spans="1:14" ht="15">
      <c r="A30" s="93" t="s">
        <v>126</v>
      </c>
      <c r="B30" s="121"/>
      <c r="C30" s="121"/>
      <c r="D30" s="122">
        <v>812.3</v>
      </c>
      <c r="E30" s="121">
        <v>551.7</v>
      </c>
      <c r="F30" s="121">
        <v>470.9</v>
      </c>
      <c r="G30" s="122">
        <v>3982.2</v>
      </c>
      <c r="H30" s="122">
        <v>90.6</v>
      </c>
      <c r="I30" s="121"/>
      <c r="J30" s="121">
        <v>538.8</v>
      </c>
      <c r="K30" s="121"/>
      <c r="L30" s="121">
        <v>691.9</v>
      </c>
      <c r="M30" s="121">
        <v>245.9</v>
      </c>
      <c r="N30" s="80">
        <f t="shared" si="3"/>
        <v>7384.3</v>
      </c>
    </row>
    <row r="31" spans="1:16" ht="15">
      <c r="A31" s="89" t="s">
        <v>92</v>
      </c>
      <c r="B31" s="94">
        <f>SUM(B21:B30)</f>
        <v>299.8</v>
      </c>
      <c r="C31" s="94">
        <f aca="true" t="shared" si="4" ref="C31:N31">SUM(C21:C30)</f>
        <v>4235.8</v>
      </c>
      <c r="D31" s="94">
        <f t="shared" si="4"/>
        <v>812.3</v>
      </c>
      <c r="E31" s="94">
        <f t="shared" si="4"/>
        <v>551.7</v>
      </c>
      <c r="F31" s="94">
        <f t="shared" si="4"/>
        <v>470.9</v>
      </c>
      <c r="G31" s="94">
        <f t="shared" si="4"/>
        <v>4182.2</v>
      </c>
      <c r="H31" s="94">
        <f t="shared" si="4"/>
        <v>90.6</v>
      </c>
      <c r="I31" s="94">
        <f t="shared" si="4"/>
        <v>2801.9</v>
      </c>
      <c r="J31" s="94">
        <f t="shared" si="4"/>
        <v>538.8</v>
      </c>
      <c r="K31" s="94">
        <f t="shared" si="4"/>
        <v>0</v>
      </c>
      <c r="L31" s="94">
        <f t="shared" si="4"/>
        <v>691.9</v>
      </c>
      <c r="M31" s="94">
        <f t="shared" si="4"/>
        <v>245.9</v>
      </c>
      <c r="N31" s="94">
        <f t="shared" si="4"/>
        <v>14921.8</v>
      </c>
      <c r="O31" s="37">
        <f>SUM(N31/N13)</f>
        <v>0.025028854351819965</v>
      </c>
      <c r="P31" s="34" t="s">
        <v>108</v>
      </c>
    </row>
    <row r="32" spans="1:14" ht="1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</row>
    <row r="33" spans="1:14" ht="15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</row>
    <row r="34" spans="1:14" ht="18.75">
      <c r="A34" s="142" t="s">
        <v>111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</row>
    <row r="35" spans="1:14" ht="15">
      <c r="A35" s="92"/>
      <c r="B35" s="92" t="s">
        <v>75</v>
      </c>
      <c r="C35" s="92" t="s">
        <v>1</v>
      </c>
      <c r="D35" s="92" t="s">
        <v>9</v>
      </c>
      <c r="E35" s="92" t="s">
        <v>7</v>
      </c>
      <c r="F35" s="92" t="s">
        <v>10</v>
      </c>
      <c r="G35" s="92" t="s">
        <v>14</v>
      </c>
      <c r="H35" s="92" t="s">
        <v>76</v>
      </c>
      <c r="I35" s="92" t="s">
        <v>2</v>
      </c>
      <c r="J35" s="92" t="s">
        <v>6</v>
      </c>
      <c r="K35" s="92" t="s">
        <v>11</v>
      </c>
      <c r="L35" s="92" t="s">
        <v>3</v>
      </c>
      <c r="M35" s="92" t="s">
        <v>4</v>
      </c>
      <c r="N35" s="92" t="s">
        <v>77</v>
      </c>
    </row>
    <row r="36" spans="1:16" ht="15">
      <c r="A36" s="95"/>
      <c r="B36" s="96">
        <f aca="true" t="shared" si="5" ref="B36:M36">SUM(B13-B16-B31)</f>
        <v>15483.60000000001</v>
      </c>
      <c r="C36" s="96">
        <f t="shared" si="5"/>
        <v>78091.1</v>
      </c>
      <c r="D36" s="96">
        <f t="shared" si="5"/>
        <v>10681.999999999993</v>
      </c>
      <c r="E36" s="96">
        <f t="shared" si="5"/>
        <v>11687.299999999996</v>
      </c>
      <c r="F36" s="96">
        <f t="shared" si="5"/>
        <v>4729.699999999999</v>
      </c>
      <c r="G36" s="96">
        <f t="shared" si="5"/>
        <v>23230.000000000004</v>
      </c>
      <c r="H36" s="96">
        <f t="shared" si="5"/>
        <v>4631.299999999997</v>
      </c>
      <c r="I36" s="96">
        <f t="shared" si="5"/>
        <v>14147.900000000003</v>
      </c>
      <c r="J36" s="96">
        <f t="shared" si="5"/>
        <v>14622.7</v>
      </c>
      <c r="K36" s="96">
        <f t="shared" si="5"/>
        <v>3335.7000000000007</v>
      </c>
      <c r="L36" s="96">
        <f t="shared" si="5"/>
        <v>22569.699999999997</v>
      </c>
      <c r="M36" s="96">
        <f t="shared" si="5"/>
        <v>14800.299999999997</v>
      </c>
      <c r="N36" s="96">
        <f>SUM(B36:M36)</f>
        <v>218011.3</v>
      </c>
      <c r="O36" s="36">
        <f>SUM(N36/N13)</f>
        <v>0.3656779393069823</v>
      </c>
      <c r="P36" s="34" t="s">
        <v>112</v>
      </c>
    </row>
    <row r="38" ht="15">
      <c r="N38" s="38"/>
    </row>
    <row r="39" spans="14:15" ht="15">
      <c r="N39" s="38">
        <f>SUM(N16+N31+N36)</f>
        <v>596183.9</v>
      </c>
      <c r="O39" s="101">
        <f>SUM(O16+O31+O36)</f>
        <v>1</v>
      </c>
    </row>
    <row r="40" ht="15">
      <c r="N40" s="35"/>
    </row>
  </sheetData>
  <sheetProtection/>
  <mergeCells count="4">
    <mergeCell ref="A1:N1"/>
    <mergeCell ref="A19:N19"/>
    <mergeCell ref="A34:N34"/>
    <mergeCell ref="A15:N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2020-12-10T09:22:22Z</dcterms:modified>
  <cp:category/>
  <cp:version/>
  <cp:contentType/>
  <cp:contentStatus/>
</cp:coreProperties>
</file>